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activeTab="2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  <sheet name="SU A0800" sheetId="122" r:id="rId99"/>
    <sheet name="SU 08001" sheetId="123" r:id="rId100"/>
    <sheet name="SU 08002" sheetId="124" r:id="rId101"/>
    <sheet name="dSU 08002" sheetId="125" r:id="rId102"/>
    <sheet name="SU 08003" sheetId="126" r:id="rId103"/>
    <sheet name="SU A0900" sheetId="127" r:id="rId104"/>
    <sheet name="SU 09001" sheetId="128" r:id="rId105"/>
    <sheet name="SU 09002" sheetId="129" r:id="rId106"/>
    <sheet name="dSU 09002" sheetId="131" r:id="rId107"/>
    <sheet name="SU 09003" sheetId="130" r:id="rId108"/>
    <sheet name="dSU 09003" sheetId="134" r:id="rId109"/>
    <sheet name="SU 09004" sheetId="133" r:id="rId110"/>
    <sheet name="dSU 09004" sheetId="132" r:id="rId111"/>
    <sheet name="SU A1000" sheetId="135" r:id="rId112"/>
    <sheet name="SU 10001" sheetId="136" r:id="rId113"/>
    <sheet name="dSU 10001" sheetId="137" r:id="rId114"/>
    <sheet name="SU 10002" sheetId="138" r:id="rId115"/>
    <sheet name="dSU 10002" sheetId="139" r:id="rId116"/>
    <sheet name="SU 10003" sheetId="140" r:id="rId117"/>
    <sheet name="dSU 10003" sheetId="141" r:id="rId118"/>
    <sheet name="SU 10004" sheetId="142" r:id="rId119"/>
    <sheet name="dSU 10004" sheetId="143" r:id="rId120"/>
    <sheet name="SU 10005" sheetId="144" r:id="rId121"/>
    <sheet name="dSU 10005" sheetId="145" r:id="rId122"/>
    <sheet name="SU A1100 " sheetId="146" r:id="rId123"/>
    <sheet name="SU 11001" sheetId="147" r:id="rId124"/>
    <sheet name="dSU 11001" sheetId="148" r:id="rId125"/>
    <sheet name="SU 11002" sheetId="149" r:id="rId126"/>
    <sheet name="dSU 11002" sheetId="150" r:id="rId127"/>
    <sheet name="SU 11003" sheetId="151" r:id="rId128"/>
    <sheet name="dSU 11003" sheetId="152" r:id="rId129"/>
    <sheet name="SU 11004" sheetId="153" r:id="rId130"/>
    <sheet name="dSU 11004" sheetId="154" r:id="rId131"/>
    <sheet name="SU A1200" sheetId="155" r:id="rId132"/>
    <sheet name="SU 12001" sheetId="156" r:id="rId133"/>
    <sheet name="SU 12002" sheetId="157" r:id="rId134"/>
    <sheet name="dSU 12002" sheetId="158" r:id="rId135"/>
    <sheet name="SU 12003" sheetId="159" r:id="rId136"/>
    <sheet name="dSU 12003" sheetId="160" r:id="rId137"/>
    <sheet name="SU 12004" sheetId="161" r:id="rId138"/>
    <sheet name="dSU 12004" sheetId="162" r:id="rId139"/>
    <sheet name="SU A1300" sheetId="163" r:id="rId140"/>
    <sheet name="SU 13001" sheetId="164" r:id="rId141"/>
    <sheet name="dSU 13001" sheetId="165" r:id="rId142"/>
    <sheet name="SU 13002" sheetId="166" r:id="rId143"/>
    <sheet name="dSU 13002" sheetId="167" r:id="rId144"/>
  </sheets>
  <externalReferences>
    <externalReference r:id="rId145"/>
    <externalReference r:id="rId146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'dSU 12002'!$A$1</definedName>
    <definedName name="dSU_12003">'dSU 12003'!$A$1</definedName>
    <definedName name="dSU_12004">'dSU 12004'!$A$1</definedName>
    <definedName name="dSU_13001">'dSU 13001'!$A$1</definedName>
    <definedName name="dSU_13002">'dSU 13002'!$A$1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12001'!$I$16</definedName>
    <definedName name="SU_12001_q">'SU 12001'!$N$3</definedName>
    <definedName name="SU_12002">'SU 12002'!$B$6</definedName>
    <definedName name="SU_12002_m">'SU 12002'!$N$12</definedName>
    <definedName name="SU_12002_p">'SU 12002'!$I$19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'!$J$34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A1200'!$J$46</definedName>
    <definedName name="SU_A1200_m">'SU A1200'!$N$19</definedName>
    <definedName name="SU_A1200_p">'SU A1200'!$I$38</definedName>
    <definedName name="SU_A1200_pa">'SU A1200'!$E$14</definedName>
    <definedName name="SU_A1200_q">'SU A1200'!$N$3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C91" i="8" l="1"/>
  <c r="C90" i="8"/>
  <c r="B89" i="8"/>
  <c r="B90" i="8"/>
  <c r="F91" i="8"/>
  <c r="F90" i="8"/>
  <c r="F89" i="8"/>
  <c r="F85" i="8"/>
  <c r="J91" i="8"/>
  <c r="K91" i="8"/>
  <c r="H91" i="8"/>
  <c r="I91" i="8"/>
  <c r="N91" i="8"/>
  <c r="B91" i="8"/>
  <c r="J90" i="8"/>
  <c r="K90" i="8"/>
  <c r="H90" i="8"/>
  <c r="I90" i="8"/>
  <c r="N90" i="8"/>
  <c r="J89" i="8"/>
  <c r="K89" i="8"/>
  <c r="L89" i="8"/>
  <c r="H89" i="8"/>
  <c r="I89" i="8"/>
  <c r="N89" i="8"/>
  <c r="C89" i="8"/>
  <c r="H15" i="166"/>
  <c r="I15" i="166"/>
  <c r="I16" i="166"/>
  <c r="I17" i="166"/>
  <c r="J11" i="166"/>
  <c r="N11" i="166"/>
  <c r="N12" i="166"/>
  <c r="E11" i="166"/>
  <c r="N2" i="166"/>
  <c r="N5" i="166"/>
  <c r="B4" i="166"/>
  <c r="B3" i="166"/>
  <c r="I15" i="164"/>
  <c r="I17" i="164"/>
  <c r="I20" i="164"/>
  <c r="I19" i="164"/>
  <c r="I18" i="164"/>
  <c r="I16" i="164"/>
  <c r="J11" i="164"/>
  <c r="E11" i="164"/>
  <c r="N11" i="164"/>
  <c r="N12" i="164"/>
  <c r="N2" i="164"/>
  <c r="N5" i="164"/>
  <c r="B4" i="164"/>
  <c r="B3" i="164"/>
  <c r="D36" i="163"/>
  <c r="J36" i="163"/>
  <c r="D37" i="163"/>
  <c r="J37" i="163"/>
  <c r="J38" i="163"/>
  <c r="D39" i="163"/>
  <c r="J39" i="163"/>
  <c r="D40" i="163"/>
  <c r="J40" i="163"/>
  <c r="J41" i="163"/>
  <c r="A37" i="163"/>
  <c r="A38" i="163"/>
  <c r="A39" i="163"/>
  <c r="A40" i="163"/>
  <c r="I20" i="163"/>
  <c r="I21" i="163"/>
  <c r="I22" i="163"/>
  <c r="I23" i="163"/>
  <c r="I24" i="163"/>
  <c r="I25" i="163"/>
  <c r="I26" i="163"/>
  <c r="I27" i="163"/>
  <c r="I28" i="163"/>
  <c r="I29" i="163"/>
  <c r="I30" i="163"/>
  <c r="I31" i="163"/>
  <c r="I32" i="163"/>
  <c r="I33" i="163"/>
  <c r="A26" i="163"/>
  <c r="A27" i="163"/>
  <c r="A28" i="163"/>
  <c r="A29" i="163"/>
  <c r="A30" i="163"/>
  <c r="A31" i="163"/>
  <c r="A32" i="163"/>
  <c r="D15" i="163"/>
  <c r="N15" i="163"/>
  <c r="D16" i="163"/>
  <c r="N16" i="163"/>
  <c r="N17" i="163"/>
  <c r="C10" i="163"/>
  <c r="D10" i="163"/>
  <c r="E10" i="163"/>
  <c r="C11" i="163"/>
  <c r="D11" i="163"/>
  <c r="E11" i="163"/>
  <c r="E12" i="163"/>
  <c r="B11" i="163"/>
  <c r="B10" i="163"/>
  <c r="N2" i="163"/>
  <c r="N5" i="163"/>
  <c r="K88" i="8"/>
  <c r="J88" i="8"/>
  <c r="I88" i="8"/>
  <c r="H88" i="8"/>
  <c r="N88" i="8"/>
  <c r="F88" i="8"/>
  <c r="F87" i="8"/>
  <c r="F86" i="8"/>
  <c r="B84" i="8"/>
  <c r="B85" i="8"/>
  <c r="B86" i="8"/>
  <c r="B87" i="8"/>
  <c r="B88" i="8"/>
  <c r="C88" i="8"/>
  <c r="C87" i="8"/>
  <c r="C86" i="8"/>
  <c r="C85" i="8"/>
  <c r="F84" i="8"/>
  <c r="E88" i="8"/>
  <c r="E86" i="8"/>
  <c r="E87" i="8"/>
  <c r="E85" i="8"/>
  <c r="F73" i="8"/>
  <c r="J87" i="8"/>
  <c r="K87" i="8"/>
  <c r="H87" i="8"/>
  <c r="I87" i="8"/>
  <c r="N87" i="8"/>
  <c r="J86" i="8"/>
  <c r="K86" i="8"/>
  <c r="H86" i="8"/>
  <c r="I86" i="8"/>
  <c r="N86" i="8"/>
  <c r="J85" i="8"/>
  <c r="K85" i="8"/>
  <c r="H85" i="8"/>
  <c r="I85" i="8"/>
  <c r="N85" i="8"/>
  <c r="J84" i="8"/>
  <c r="K84" i="8"/>
  <c r="L84" i="8"/>
  <c r="H84" i="8"/>
  <c r="I84" i="8"/>
  <c r="N84" i="8"/>
  <c r="C84" i="8"/>
  <c r="H15" i="161"/>
  <c r="I15" i="161"/>
  <c r="I16" i="161"/>
  <c r="I17" i="161"/>
  <c r="J11" i="161"/>
  <c r="N11" i="161"/>
  <c r="N12" i="161"/>
  <c r="E11" i="161"/>
  <c r="J11" i="159"/>
  <c r="N11" i="159"/>
  <c r="N12" i="159"/>
  <c r="H15" i="159"/>
  <c r="I15" i="159"/>
  <c r="I16" i="159"/>
  <c r="I17" i="159"/>
  <c r="N2" i="161"/>
  <c r="N5" i="161"/>
  <c r="B4" i="161"/>
  <c r="B3" i="161"/>
  <c r="E11" i="159"/>
  <c r="N2" i="159"/>
  <c r="N5" i="159"/>
  <c r="B4" i="159"/>
  <c r="B3" i="159"/>
  <c r="I14" i="157"/>
  <c r="I15" i="157"/>
  <c r="I16" i="157"/>
  <c r="I17" i="157"/>
  <c r="I18" i="157"/>
  <c r="I19" i="157"/>
  <c r="J11" i="157"/>
  <c r="E11" i="157"/>
  <c r="N11" i="157"/>
  <c r="N12" i="157"/>
  <c r="N2" i="157"/>
  <c r="N5" i="157"/>
  <c r="B4" i="157"/>
  <c r="J11" i="156"/>
  <c r="E11" i="156"/>
  <c r="F15" i="156"/>
  <c r="I15" i="156"/>
  <c r="I16" i="156"/>
  <c r="N11" i="156"/>
  <c r="N12" i="156"/>
  <c r="N2" i="156"/>
  <c r="N5" i="156"/>
  <c r="B4" i="156"/>
  <c r="B3" i="156"/>
  <c r="D41" i="155"/>
  <c r="J41" i="155"/>
  <c r="D42" i="155"/>
  <c r="J42" i="155"/>
  <c r="J43" i="155"/>
  <c r="D44" i="155"/>
  <c r="J44" i="155"/>
  <c r="D45" i="155"/>
  <c r="J45" i="155"/>
  <c r="J46" i="155"/>
  <c r="A42" i="155"/>
  <c r="A43" i="155"/>
  <c r="A44" i="155"/>
  <c r="A45" i="155"/>
  <c r="I22" i="155"/>
  <c r="I23" i="155"/>
  <c r="I24" i="155"/>
  <c r="I25" i="155"/>
  <c r="I26" i="155"/>
  <c r="I27" i="155"/>
  <c r="I28" i="155"/>
  <c r="I29" i="155"/>
  <c r="I30" i="155"/>
  <c r="I31" i="155"/>
  <c r="I32" i="155"/>
  <c r="I33" i="155"/>
  <c r="I34" i="155"/>
  <c r="I35" i="155"/>
  <c r="I36" i="155"/>
  <c r="I37" i="155"/>
  <c r="I38" i="155"/>
  <c r="A23" i="155"/>
  <c r="A24" i="155"/>
  <c r="A25" i="155"/>
  <c r="A26" i="155"/>
  <c r="A27" i="155"/>
  <c r="A28" i="155"/>
  <c r="A29" i="155"/>
  <c r="A30" i="155"/>
  <c r="A31" i="155"/>
  <c r="A32" i="155"/>
  <c r="A33" i="155"/>
  <c r="A34" i="155"/>
  <c r="A35" i="155"/>
  <c r="A36" i="155"/>
  <c r="A37" i="155"/>
  <c r="D17" i="155"/>
  <c r="N17" i="155"/>
  <c r="D18" i="155"/>
  <c r="N18" i="155"/>
  <c r="N19" i="155"/>
  <c r="C10" i="155"/>
  <c r="D10" i="155"/>
  <c r="E10" i="155"/>
  <c r="C11" i="155"/>
  <c r="D11" i="155"/>
  <c r="E11" i="155"/>
  <c r="C12" i="155"/>
  <c r="D12" i="155"/>
  <c r="E12" i="155"/>
  <c r="C13" i="155"/>
  <c r="D13" i="155"/>
  <c r="E13" i="155"/>
  <c r="E14" i="155"/>
  <c r="B13" i="155"/>
  <c r="B12" i="155"/>
  <c r="N2" i="155"/>
  <c r="N5" i="155"/>
  <c r="B4" i="153"/>
  <c r="B4" i="151"/>
  <c r="B4" i="149"/>
  <c r="N2" i="153"/>
  <c r="N2" i="149"/>
  <c r="N2" i="147"/>
  <c r="C13" i="146"/>
  <c r="N2" i="151"/>
  <c r="C12" i="146"/>
  <c r="C11" i="146"/>
  <c r="C10" i="146"/>
  <c r="L79" i="8"/>
  <c r="J83" i="8"/>
  <c r="J82" i="8"/>
  <c r="J81" i="8"/>
  <c r="J80" i="8"/>
  <c r="K83" i="8"/>
  <c r="K82" i="8"/>
  <c r="K81" i="8"/>
  <c r="K80" i="8"/>
  <c r="K79" i="8"/>
  <c r="I83" i="8"/>
  <c r="I82" i="8"/>
  <c r="I81" i="8"/>
  <c r="I80" i="8"/>
  <c r="I79" i="8"/>
  <c r="F79" i="8"/>
  <c r="E81" i="8"/>
  <c r="E82" i="8"/>
  <c r="E83" i="8"/>
  <c r="E80" i="8"/>
  <c r="F83" i="8"/>
  <c r="F82" i="8"/>
  <c r="F81" i="8"/>
  <c r="F80" i="8"/>
  <c r="C83" i="8"/>
  <c r="C82" i="8"/>
  <c r="C81" i="8"/>
  <c r="C80" i="8"/>
  <c r="C79" i="8"/>
  <c r="H83" i="8"/>
  <c r="N83" i="8"/>
  <c r="B83" i="8"/>
  <c r="H82" i="8"/>
  <c r="N82" i="8"/>
  <c r="B82" i="8"/>
  <c r="H81" i="8"/>
  <c r="N81" i="8"/>
  <c r="B81" i="8"/>
  <c r="H80" i="8"/>
  <c r="N80" i="8"/>
  <c r="B80" i="8"/>
  <c r="H79" i="8"/>
  <c r="N79" i="8"/>
  <c r="B79" i="8"/>
  <c r="E10" i="146"/>
  <c r="E11" i="146"/>
  <c r="E13" i="146"/>
  <c r="E12" i="146"/>
  <c r="E14" i="146"/>
  <c r="N2" i="146"/>
  <c r="H15" i="153"/>
  <c r="I15" i="153"/>
  <c r="I16" i="153"/>
  <c r="I17" i="153"/>
  <c r="J11" i="153"/>
  <c r="E11" i="153"/>
  <c r="N11" i="153"/>
  <c r="N12" i="153"/>
  <c r="N5" i="153"/>
  <c r="B3" i="153"/>
  <c r="I15" i="151"/>
  <c r="I16" i="151"/>
  <c r="I18" i="151"/>
  <c r="I17" i="151"/>
  <c r="J11" i="151"/>
  <c r="E11" i="151"/>
  <c r="N11" i="151"/>
  <c r="N12" i="151"/>
  <c r="N5" i="151"/>
  <c r="B3" i="151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5" i="149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5" i="147"/>
  <c r="B4" i="147"/>
  <c r="B3" i="147"/>
  <c r="D33" i="146"/>
  <c r="J33" i="146"/>
  <c r="J34" i="146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I30" i="146"/>
  <c r="D10" i="146"/>
  <c r="D13" i="146"/>
  <c r="D12" i="146"/>
  <c r="D11" i="146"/>
  <c r="B10" i="146"/>
  <c r="N5" i="146"/>
  <c r="N2" i="138"/>
  <c r="C11" i="135"/>
  <c r="E11" i="135"/>
  <c r="N2" i="140"/>
  <c r="C12" i="135"/>
  <c r="E12" i="135"/>
  <c r="N2" i="142"/>
  <c r="C13" i="135"/>
  <c r="E13" i="135"/>
  <c r="N2" i="144"/>
  <c r="C14" i="135"/>
  <c r="E14" i="135"/>
  <c r="E15" i="135"/>
  <c r="L2" i="135"/>
  <c r="L73" i="8"/>
  <c r="K78" i="8"/>
  <c r="K77" i="8"/>
  <c r="K76" i="8"/>
  <c r="K75" i="8"/>
  <c r="K74" i="8"/>
  <c r="K73" i="8"/>
  <c r="J78" i="8"/>
  <c r="J77" i="8"/>
  <c r="J76" i="8"/>
  <c r="J75" i="8"/>
  <c r="J74" i="8"/>
  <c r="I78" i="8"/>
  <c r="I77" i="8"/>
  <c r="I76" i="8"/>
  <c r="I75" i="8"/>
  <c r="I74" i="8"/>
  <c r="I73" i="8"/>
  <c r="E78" i="8"/>
  <c r="E75" i="8"/>
  <c r="E76" i="8"/>
  <c r="E77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K72" i="8"/>
  <c r="J72" i="8"/>
  <c r="I72" i="8"/>
  <c r="F72" i="8"/>
  <c r="F71" i="8"/>
  <c r="F70" i="8"/>
  <c r="F69" i="8"/>
  <c r="E66" i="8"/>
  <c r="E67" i="8"/>
  <c r="E65" i="8"/>
  <c r="F68" i="8"/>
  <c r="E70" i="8"/>
  <c r="E71" i="8"/>
  <c r="E72" i="8"/>
  <c r="E69" i="8"/>
  <c r="C72" i="8"/>
  <c r="H72" i="8"/>
  <c r="N72" i="8"/>
  <c r="B72" i="8"/>
  <c r="L68" i="8"/>
  <c r="K71" i="8"/>
  <c r="K70" i="8"/>
  <c r="K69" i="8"/>
  <c r="K68" i="8"/>
  <c r="J71" i="8"/>
  <c r="J70" i="8"/>
  <c r="J69" i="8"/>
  <c r="J68" i="8"/>
  <c r="I71" i="8"/>
  <c r="I70" i="8"/>
  <c r="I69" i="8"/>
  <c r="I68" i="8"/>
  <c r="B13" i="127"/>
  <c r="B12" i="127"/>
  <c r="B4" i="133"/>
  <c r="B4" i="130"/>
  <c r="B4" i="129"/>
  <c r="F63" i="8"/>
  <c r="F62" i="8"/>
  <c r="C71" i="8"/>
  <c r="C70" i="8"/>
  <c r="C69" i="8"/>
  <c r="C68" i="8"/>
  <c r="H71" i="8"/>
  <c r="N71" i="8"/>
  <c r="B71" i="8"/>
  <c r="H70" i="8"/>
  <c r="N70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D11" i="135"/>
  <c r="D12" i="135"/>
  <c r="D13" i="135"/>
  <c r="D14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/>
  <c r="N11" i="133"/>
  <c r="N12" i="133"/>
  <c r="N2" i="133"/>
  <c r="C12" i="127"/>
  <c r="H15" i="133"/>
  <c r="H15" i="130"/>
  <c r="I15" i="133"/>
  <c r="E11" i="133"/>
  <c r="N5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92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92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92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92" i="8"/>
  <c r="M7" i="8"/>
  <c r="M19" i="8"/>
  <c r="M92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92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<sst xmlns="http://schemas.openxmlformats.org/spreadsheetml/2006/main" count="6861" uniqueCount="624">
  <si>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</si>
  <si>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</si>
  <si>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</si>
  <si>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</si>
  <si>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</si>
  <si>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</si>
  <si>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</si>
  <si>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</si>
  <si>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</si>
  <si>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</si>
  <si>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</si>
  <si>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</si>
  <si>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</si>
  <si>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</si>
  <si>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</si>
  <si>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</si>
  <si>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</si>
  <si>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</si>
  <si>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</si>
  <si>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</si>
  <si>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</si>
  <si>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</si>
  <si>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</si>
  <si>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</si>
  <si>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</si>
  <si>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</si>
  <si>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</si>
  <si>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</si>
  <si>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</si>
  <si>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</si>
  <si>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</si>
  <si>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</si>
  <si>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</si>
  <si>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</si>
  <si>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</si>
  <si>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</si>
  <si>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</si>
  <si>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</si>
  <si>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</si>
  <si>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</si>
  <si>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</si>
  <si>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</si>
  <si>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</si>
  <si>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</si>
  <si>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</si>
  <si>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</si>
  <si>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</si>
  <si>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</si>
  <si>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</si>
  <si>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</si>
  <si>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</si>
  <si>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</si>
  <si>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</si>
  <si>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</si>
  <si>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</si>
  <si>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</si>
  <si>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</si>
  <si>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</si>
  <si>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</si>
  <si>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</si>
  <si>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</si>
  <si>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</si>
  <si>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</si>
  <si>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</si>
  <si>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</si>
  <si>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</si>
  <si>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</si>
  <si>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</si>
  <si>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</si>
  <si>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</si>
  <si>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</si>
  <si>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</si>
  <si>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</si>
  <si>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</si>
  <si>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</si>
  <si>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</si>
  <si>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</si>
  <si>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</si>
  <si>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</si>
  <si>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</si>
  <si>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</si>
  <si>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</si>
  <si>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</si>
  <si>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</si>
  <si>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</si>
  <si>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</si>
  <si>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</si>
  <si>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</si>
  <si>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</si>
  <si>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</si>
  <si>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</si>
  <si>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</si>
  <si>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</si>
  <si>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</si>
  <si>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</si>
  <si>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</si>
  <si>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</si>
  <si>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</si>
  <si>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</si>
  <si>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</si>
  <si>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</si>
  <si>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</si>
  <si>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</si>
  <si>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</si>
  <si>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</si>
  <si>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</si>
  <si>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</si>
  <si>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</si>
  <si>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</si>
  <si>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</si>
  <si>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</si>
  <si>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</si>
  <si>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</si>
  <si>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</si>
  <si>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</si>
  <si>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</si>
  <si>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</si>
  <si>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</si>
  <si>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</si>
  <si>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</si>
  <si>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</si>
  <si>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</si>
  <si>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</si>
  <si>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</si>
  <si>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</si>
  <si>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</si>
  <si>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</si>
  <si>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</si>
  <si>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</si>
  <si>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</si>
  <si>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</si>
  <si>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</si>
  <si>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</si>
  <si>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</si>
  <si>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</si>
  <si>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</si>
  <si>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</si>
  <si>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</si>
  <si>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</si>
  <si>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</si>
  <si>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</si>
  <si>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</si>
  <si>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</si>
  <si>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</si>
  <si>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</si>
  <si>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</si>
  <si>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</si>
  <si>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</si>
  <si>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</si>
  <si>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</si>
  <si>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</si>
  <si>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</si>
  <si>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</si>
  <si>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</si>
  <si>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</si>
  <si>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</si>
  <si>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</si>
  <si>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</si>
  <si>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</si>
  <si>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</si>
  <si>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</si>
  <si>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</si>
  <si>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</si>
  <si>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</si>
  <si>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</si>
  <si>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</si>
  <si>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</si>
  <si>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</si>
  <si>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</si>
  <si>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</si>
  <si>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</si>
  <si>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</si>
  <si>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</si>
  <si>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</si>
  <si>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</si>
  <si>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</si>
  <si>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</si>
  <si>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</si>
  <si>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</si>
  <si>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</si>
  <si>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</si>
  <si>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</si>
  <si>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</si>
  <si>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</si>
  <si>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</si>
  <si>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</si>
  <si>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</si>
  <si>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</si>
  <si>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</si>
  <si>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</si>
  <si>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</si>
  <si>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</si>
  <si>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</si>
  <si>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</si>
  <si>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</si>
  <si>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</si>
  <si>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</si>
  <si>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</si>
  <si>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</si>
  <si>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</si>
  <si>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</si>
  <si>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</si>
  <si>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</si>
  <si>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</si>
  <si>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</si>
  <si>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</si>
  <si>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</si>
  <si>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</si>
  <si>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</si>
  <si>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</si>
  <si>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</si>
  <si>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</si>
  <si>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</si>
  <si>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</si>
  <si>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</si>
  <si>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</si>
  <si>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</si>
  <si>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</si>
  <si>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</si>
  <si>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</si>
  <si>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</si>
  <si>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</si>
  <si>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</si>
  <si>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</si>
  <si>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</si>
  <si>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</si>
  <si>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</si>
  <si>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</si>
  <si>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</si>
  <si>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</si>
  <si>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</si>
  <si>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</si>
  <si>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</si>
  <si>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</si>
  <si>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</si>
  <si>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</si>
  <si>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</si>
  <si>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</si>
  <si>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</si>
  <si>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</si>
  <si>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</si>
  <si>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</si>
  <si>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</si>
  <si>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</si>
  <si>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</si>
  <si>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</si>
  <si>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</si>
  <si>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</si>
  <si>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</si>
  <si>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</si>
  <si>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</si>
  <si>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</si>
  <si>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</si>
  <si>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</si>
  <si>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</si>
  <si>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</si>
  <si>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</si>
  <si>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</si>
  <si>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</si>
  <si>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</si>
  <si>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</si>
  <si>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</si>
  <si>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</si>
  <si>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</si>
  <si>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</si>
  <si>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</si>
  <si>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</si>
  <si>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</si>
  <si>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</si>
  <si>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</si>
  <si>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</si>
  <si>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</si>
  <si>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</si>
  <si>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</si>
  <si>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</si>
  <si>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</si>
  <si>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</si>
  <si>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</si>
  <si>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</si>
  <si>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</si>
  <si>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</si>
  <si>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</si>
  <si>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</si>
  <si>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</si>
  <si>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</si>
  <si>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</si>
  <si>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</si>
  <si>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</si>
  <si>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</si>
  <si>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</si>
  <si>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</si>
  <si>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</si>
  <si>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</si>
  <si>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</si>
  <si>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</si>
  <si>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</si>
  <si>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</si>
  <si>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</si>
  <si>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</si>
  <si>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</si>
  <si>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</si>
  <si>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</si>
  <si>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</si>
  <si>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</si>
  <si>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</si>
  <si>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</si>
  <si>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</si>
  <si>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</si>
  <si>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</si>
  <si>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</si>
  <si>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</si>
  <si>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</si>
  <si>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</si>
  <si>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</si>
  <si>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</si>
  <si>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</si>
  <si>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</si>
  <si>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</si>
  <si>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</si>
  <si>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</si>
  <si>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</si>
  <si>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</si>
  <si>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</si>
  <si>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</si>
  <si>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</si>
  <si>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</si>
  <si>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</si>
  <si>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</si>
  <si>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</si>
  <si>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</si>
  <si>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</si>
  <si>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</si>
  <si>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</si>
  <si>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</si>
  <si>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</si>
  <si>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</si>
  <si>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</si>
  <si>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</si>
  <si>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</si>
  <si>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</si>
  <si>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</si>
  <si>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</si>
  <si>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</si>
  <si>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</si>
  <si>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</si>
  <si>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</si>
  <si>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</si>
  <si>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</si>
  <si>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</si>
  <si>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</si>
  <si>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</si>
  <si>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</si>
  <si>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</si>
  <si>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</si>
  <si>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</si>
  <si>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</si>
  <si>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</si>
  <si>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</si>
  <si>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</si>
  <si>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</si>
  <si>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</si>
  <si>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</si>
  <si>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</si>
  <si>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</si>
  <si>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</si>
  <si>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</si>
  <si>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</si>
  <si>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</si>
  <si>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</si>
  <si>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</si>
  <si>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</si>
  <si>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</si>
  <si>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</si>
  <si>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</si>
  <si>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</si>
  <si>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</si>
  <si>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</si>
  <si>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</si>
  <si>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</si>
  <si>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</si>
  <si>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</si>
  <si>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</si>
  <si>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</si>
  <si>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</si>
  <si>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</si>
  <si>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</si>
  <si>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</si>
  <si>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</si>
  <si>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</si>
  <si>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</si>
  <si>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</si>
  <si>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</si>
  <si>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</si>
  <si>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</si>
  <si>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</si>
  <si>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</si>
  <si>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</si>
  <si>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</si>
  <si>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</si>
  <si>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</si>
  <si>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</si>
  <si>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</si>
  <si>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</si>
  <si>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</si>
  <si>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</si>
  <si>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</si>
  <si>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</si>
  <si>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</si>
  <si>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</si>
  <si>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</si>
  <si>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</si>
  <si>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</si>
  <si>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</si>
  <si>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</si>
  <si>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</si>
  <si>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</si>
  <si>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</si>
  <si>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</si>
  <si>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</si>
  <si>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</si>
  <si>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</si>
  <si>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</si>
  <si>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</si>
  <si>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</si>
  <si>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</si>
  <si>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</si>
  <si>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</si>
  <si>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</si>
  <si>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</si>
  <si>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</si>
  <si>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</si>
  <si>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</si>
  <si>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</si>
  <si>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</si>
  <si>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</si>
  <si>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</si>
  <si>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</si>
  <si>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</si>
  <si>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</si>
  <si>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</si>
  <si>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</si>
  <si>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</si>
  <si>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</si>
  <si>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</si>
  <si>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</si>
  <si>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</si>
  <si>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</si>
  <si>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</si>
  <si>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</si>
  <si>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</si>
  <si>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</si>
  <si>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</si>
  <si>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</si>
  <si>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</si>
  <si>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</si>
  <si>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</si>
  <si>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</si>
  <si>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</si>
  <si>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</si>
  <si>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</si>
  <si>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</si>
  <si>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</si>
  <si>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</si>
  <si>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</si>
  <si>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</si>
  <si>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</si>
  <si>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</si>
  <si>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</si>
  <si>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</si>
  <si>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</si>
  <si>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</si>
  <si>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</si>
  <si>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</si>
  <si>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</si>
  <si>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</si>
  <si>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</si>
  <si>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</si>
  <si>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</si>
  <si>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</si>
  <si>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</si>
  <si>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</si>
  <si>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</si>
  <si>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</si>
  <si>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</si>
  <si>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</si>
  <si>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</si>
  <si>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</si>
  <si>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</si>
  <si>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</si>
  <si>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</si>
  <si>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</si>
  <si>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</si>
  <si>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</si>
  <si>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</si>
  <si>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</si>
  <si>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</si>
  <si>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</si>
  <si>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</si>
  <si>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</si>
  <si>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</si>
  <si>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</si>
  <si>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</si>
  <si>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</si>
  <si>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</si>
  <si>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</si>
  <si>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</si>
  <si>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</si>
  <si>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</si>
  <si>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</si>
  <si>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</si>
  <si>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</si>
  <si>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</si>
  <si>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</si>
  <si>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</si>
  <si>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</si>
  <si>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</si>
  <si>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</si>
  <si>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</si>
  <si>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</si>
  <si>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</si>
  <si>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</si>
  <si>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</si>
  <si>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</si>
  <si>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</si>
  <si>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</si>
  <si>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</si>
  <si>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</si>
  <si>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</si>
  <si>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</si>
  <si>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</si>
  <si>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</si>
  <si>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</si>
  <si>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</si>
  <si>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</si>
  <si>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</si>
  <si>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</si>
  <si>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</si>
  <si>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</si>
  <si>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</si>
  <si>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</si>
  <si>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</si>
  <si>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</si>
  <si>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</si>
  <si>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</si>
  <si>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</si>
  <si>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</si>
  <si>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</si>
  <si>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</si>
  <si>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</si>
  <si>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</si>
  <si>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</si>
  <si>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</si>
  <si>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</si>
  <si>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</si>
  <si>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</si>
  <si>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</si>
  <si>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</si>
  <si>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</si>
  <si>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</si>
  <si>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</si>
  <si>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</si>
  <si>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</si>
  <si>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</si>
  <si>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</si>
  <si>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</si>
  <si>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</si>
  <si>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</si>
  <si>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</si>
  <si>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</si>
  <si>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</si>
  <si>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</si>
  <si>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</si>
  <si>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</si>
  <si>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</si>
  <si>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</si>
  <si>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</si>
  <si>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</si>
  <si>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</si>
  <si>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</si>
  <si>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</si>
  <si>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</si>
  <si>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</si>
  <si>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</si>
  <si>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</si>
  <si>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</si>
  <si>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</si>
  <si>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</si>
  <si>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</si>
  <si>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</si>
  <si>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</si>
  <si>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</si>
  <si>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</si>
  <si>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</si>
  <si>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</si>
  <si>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</si>
  <si>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</si>
  <si>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</si>
  <si>
    <t>SU A1200</t>
  </si>
  <si>
    <t>Front Pullrod, right and left are symetric</t>
  </si>
  <si>
    <t>SU 12001</t>
  </si>
  <si>
    <t>SU 12002</t>
  </si>
  <si>
    <t>SU_12002</t>
  </si>
  <si>
    <t>SU 12003</t>
  </si>
  <si>
    <t>8 parts made from a single machine setup</t>
  </si>
  <si>
    <t>SU_12003</t>
  </si>
  <si>
    <t>SU 12004</t>
  </si>
  <si>
    <t>SU_12004</t>
  </si>
  <si>
    <t>Rear Pushrod</t>
  </si>
  <si>
    <t>SU A1300</t>
  </si>
  <si>
    <t>Rear Pushrod, right and left are symetric</t>
  </si>
  <si>
    <t>Screwing by hand the rod end in the steel cylinder</t>
  </si>
  <si>
    <t>Bolt pushrod into the rocker</t>
  </si>
  <si>
    <t>Bolt pushrod into the A-Arm</t>
  </si>
  <si>
    <t>Pushrod to rocker fixing bolt</t>
  </si>
  <si>
    <t>Pushrod to A-arm fixing bolt</t>
  </si>
  <si>
    <t>Steel cylinder for pushrod</t>
  </si>
  <si>
    <t>SU 13001</t>
  </si>
  <si>
    <t>Steel, alloy</t>
  </si>
  <si>
    <t>Material for part</t>
  </si>
  <si>
    <t>Round area, outside diameter 15 mm</t>
  </si>
  <si>
    <t>Tapping holes</t>
  </si>
  <si>
    <t>Drill &amp; Tap</t>
  </si>
  <si>
    <t>Spacer</t>
  </si>
  <si>
    <t>SU 13002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</si>
</sst>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6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3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5">
    <xf numFmtId="0" fontId="0" fillId="0" borderId="0"/>
    <xf numFmtId="0" fontId="15" fillId="0" borderId="0"/>
    <xf numFmtId="170" fontId="15" fillId="0" borderId="0" applyFont="0" applyFill="0" applyBorder="0" applyAlignment="0" applyProtection="0"/>
    <xf numFmtId="170" fontId="23" fillId="0" borderId="0" applyFont="0" applyFill="0" applyBorder="0" applyAlignment="0" applyProtection="0"/>
    <xf numFmtId="170" fontId="14" fillId="2" borderId="6">
      <alignment vertical="center" wrapText="1"/>
    </xf>
    <xf numFmtId="171" fontId="15" fillId="0" borderId="0" applyFont="0" applyFill="0" applyBorder="0" applyAlignment="0" applyProtection="0"/>
    <xf numFmtId="0" fontId="10" fillId="0" borderId="0"/>
    <xf numFmtId="166" fontId="13" fillId="0" borderId="1">
      <alignment vertical="center" wrapText="1"/>
    </xf>
    <xf numFmtId="0" fontId="26" fillId="0" borderId="0" applyNumberFormat="0" applyFill="0" applyBorder="0" applyAlignment="0" applyProtection="0"/>
    <xf numFmtId="0" fontId="33" fillId="0" borderId="0"/>
    <xf numFmtId="170" fontId="38" fillId="13" borderId="1">
      <alignment vertical="center" wrapText="1"/>
    </xf>
    <xf numFmtId="170" fontId="32" fillId="11" borderId="6">
      <alignment vertical="center" wrapText="1"/>
    </xf>
    <xf numFmtId="170" fontId="8" fillId="0" borderId="0" applyFont="0" applyFill="0" applyBorder="0" applyAlignment="0" applyProtection="0"/>
    <xf numFmtId="0" fontId="35" fillId="12" borderId="0" applyNumberFormat="0" applyBorder="0" applyAlignment="0" applyProtection="0"/>
    <xf numFmtId="170" fontId="15" fillId="0" borderId="0" applyFont="0" applyFill="0" applyBorder="0" applyAlignment="0" applyProtection="0"/>
    <xf numFmtId="0" fontId="37" fillId="0" borderId="0"/>
    <xf numFmtId="0" fontId="15" fillId="0" borderId="0"/>
    <xf numFmtId="0" fontId="37" fillId="0" borderId="0"/>
    <xf numFmtId="0" fontId="15" fillId="0" borderId="0"/>
    <xf numFmtId="0" fontId="15" fillId="0" borderId="0"/>
    <xf numFmtId="0" fontId="15" fillId="0" borderId="0"/>
    <xf numFmtId="0" fontId="8" fillId="0" borderId="0"/>
    <xf numFmtId="0" fontId="37" fillId="0" borderId="0"/>
    <xf numFmtId="0" fontId="37" fillId="0" borderId="0"/>
    <xf numFmtId="0" fontId="8" fillId="0" borderId="0"/>
    <xf numFmtId="0" fontId="8" fillId="0" borderId="0"/>
    <xf numFmtId="0" fontId="8" fillId="0" borderId="0"/>
    <xf numFmtId="0" fontId="36" fillId="0" borderId="0"/>
    <xf numFmtId="174" fontId="38" fillId="0" borderId="1">
      <alignment vertical="center" wrapText="1"/>
    </xf>
    <xf numFmtId="165" fontId="23" fillId="0" borderId="0" applyFill="0" applyBorder="0" applyAlignment="0" applyProtection="0"/>
    <xf numFmtId="0" fontId="40" fillId="0" borderId="0"/>
    <xf numFmtId="0" fontId="7" fillId="0" borderId="0"/>
    <xf numFmtId="0" fontId="6" fillId="0" borderId="0"/>
    <xf numFmtId="0" fontId="13" fillId="0" borderId="0"/>
    <xf numFmtId="0" fontId="5" fillId="0" borderId="0"/>
    <xf numFmtId="171" fontId="23" fillId="0" borderId="0" applyFont="0" applyFill="0" applyBorder="0" applyAlignment="0" applyProtection="0"/>
    <xf numFmtId="170" fontId="23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4" fillId="0" borderId="0"/>
    <xf numFmtId="0" fontId="4" fillId="0" borderId="0"/>
    <xf numFmtId="44" fontId="4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13" fillId="0" borderId="0"/>
    <xf numFmtId="170" fontId="41" fillId="14" borderId="6">
      <alignment vertical="center" wrapText="1"/>
    </xf>
    <xf numFmtId="170" fontId="4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43" fontId="1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48" fillId="0" borderId="0" applyNumberFormat="0" applyFill="0" applyBorder="0" applyAlignment="0" applyProtection="0"/>
    <xf numFmtId="0" fontId="2" fillId="0" borderId="0"/>
    <xf numFmtId="0" fontId="2" fillId="0" borderId="0"/>
    <xf numFmtId="43" fontId="13" fillId="0" borderId="0" applyFont="0" applyFill="0" applyBorder="0" applyAlignment="0" applyProtection="0"/>
    <xf numFmtId="0" fontId="23" fillId="0" borderId="0"/>
    <xf numFmtId="0" fontId="2" fillId="0" borderId="0"/>
    <xf numFmtId="164" fontId="23" fillId="0" borderId="0" applyFill="0" applyBorder="0" applyAlignment="0" applyProtection="0"/>
    <xf numFmtId="44" fontId="1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</cellStyleXfs>
  <cellXfs count="1188">
    <xf numFmtId="0" fontId="0" fillId="0" borderId="0" xfId="0"/>
    <xf numFmtId="18" fontId="19" fillId="0" borderId="7" xfId="1" applyNumberFormat="1" applyFont="1" applyFill="1" applyBorder="1" applyAlignment="1" applyProtection="1">
      <protection locked="0"/>
    </xf>
    <xf numFmtId="0" fontId="19" fillId="0" borderId="7" xfId="1" applyFont="1" applyFill="1" applyBorder="1" applyAlignment="1">
      <alignment horizontal="center"/>
    </xf>
    <xf numFmtId="171" fontId="19" fillId="0" borderId="7" xfId="5" applyFont="1" applyFill="1" applyBorder="1" applyProtection="1">
      <protection locked="0"/>
    </xf>
    <xf numFmtId="0" fontId="19" fillId="0" borderId="7" xfId="1" applyFont="1" applyFill="1" applyBorder="1" applyAlignment="1" applyProtection="1">
      <alignment horizontal="center"/>
      <protection locked="0"/>
    </xf>
    <xf numFmtId="0" fontId="19" fillId="0" borderId="7" xfId="1" applyFont="1" applyFill="1" applyBorder="1" applyProtection="1">
      <protection locked="0"/>
    </xf>
    <xf numFmtId="171" fontId="16" fillId="0" borderId="0" xfId="5" applyFont="1"/>
    <xf numFmtId="0" fontId="16" fillId="0" borderId="0" xfId="1" applyFont="1" applyProtection="1">
      <protection locked="0"/>
    </xf>
    <xf numFmtId="171" fontId="15" fillId="0" borderId="0" xfId="5" applyFont="1"/>
    <xf numFmtId="0" fontId="16" fillId="0" borderId="0" xfId="1" applyFont="1"/>
    <xf numFmtId="0" fontId="18" fillId="0" borderId="0" xfId="1" applyFont="1"/>
    <xf numFmtId="0" fontId="15" fillId="0" borderId="0" xfId="1" applyFont="1" applyProtection="1">
      <protection locked="0"/>
    </xf>
    <xf numFmtId="0" fontId="15" fillId="0" borderId="0" xfId="1" applyFont="1" applyFill="1"/>
    <xf numFmtId="0" fontId="15" fillId="0" borderId="0" xfId="1" applyFont="1"/>
    <xf numFmtId="0" fontId="10" fillId="0" borderId="0" xfId="6" applyBorder="1"/>
    <xf numFmtId="0" fontId="10" fillId="0" borderId="0" xfId="6"/>
    <xf numFmtId="0" fontId="12" fillId="0" borderId="0" xfId="0" applyFont="1" applyBorder="1"/>
    <xf numFmtId="0" fontId="0" fillId="0" borderId="0" xfId="0" applyFont="1"/>
    <xf numFmtId="0" fontId="12" fillId="0" borderId="0" xfId="0" applyFont="1" applyBorder="1" applyAlignment="1">
      <alignment horizontal="left"/>
    </xf>
    <xf numFmtId="164" fontId="12" fillId="0" borderId="3" xfId="7" applyNumberFormat="1" applyFont="1" applyBorder="1" applyAlignment="1" applyProtection="1"/>
    <xf numFmtId="0" fontId="12" fillId="0" borderId="3" xfId="0" applyFont="1" applyBorder="1" applyAlignment="1"/>
    <xf numFmtId="11" fontId="12" fillId="0" borderId="3" xfId="0" applyNumberFormat="1" applyFont="1" applyBorder="1" applyAlignment="1"/>
    <xf numFmtId="0" fontId="0" fillId="0" borderId="0" xfId="0" applyAlignment="1"/>
    <xf numFmtId="2" fontId="12" fillId="0" borderId="3" xfId="7" applyNumberFormat="1" applyFont="1" applyBorder="1" applyAlignment="1" applyProtection="1"/>
    <xf numFmtId="0" fontId="11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2" fillId="0" borderId="0" xfId="0" applyNumberFormat="1" applyFont="1" applyBorder="1" applyAlignment="1">
      <alignment horizontal="left"/>
    </xf>
    <xf numFmtId="0" fontId="11" fillId="0" borderId="4" xfId="0" applyFont="1" applyBorder="1"/>
    <xf numFmtId="165" fontId="12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2" fillId="0" borderId="3" xfId="7" applyNumberFormat="1" applyFont="1" applyBorder="1" applyAlignment="1" applyProtection="1">
      <alignment wrapText="1"/>
    </xf>
    <xf numFmtId="0" fontId="20" fillId="0" borderId="0" xfId="1" applyFont="1" applyAlignment="1">
      <alignment horizontal="center"/>
    </xf>
    <xf numFmtId="0" fontId="21" fillId="0" borderId="0" xfId="1" applyFont="1"/>
    <xf numFmtId="0" fontId="24" fillId="0" borderId="0" xfId="6" applyFont="1" applyFill="1" applyBorder="1"/>
    <xf numFmtId="0" fontId="10" fillId="0" borderId="0" xfId="6" applyFill="1"/>
    <xf numFmtId="0" fontId="10" fillId="0" borderId="0" xfId="6" applyFill="1" applyBorder="1"/>
    <xf numFmtId="0" fontId="10" fillId="0" borderId="0" xfId="6" applyFont="1"/>
    <xf numFmtId="0" fontId="10" fillId="0" borderId="0" xfId="6" applyFont="1" applyFill="1" applyBorder="1"/>
    <xf numFmtId="0" fontId="10" fillId="0" borderId="0" xfId="6" applyFont="1" applyFill="1"/>
    <xf numFmtId="0" fontId="19" fillId="0" borderId="7" xfId="1" applyFont="1" applyFill="1" applyBorder="1" applyAlignment="1">
      <alignment horizontal="left"/>
    </xf>
    <xf numFmtId="0" fontId="17" fillId="0" borderId="0" xfId="1" applyFont="1"/>
    <xf numFmtId="0" fontId="22" fillId="0" borderId="0" xfId="1" applyFont="1"/>
    <xf numFmtId="0" fontId="24" fillId="3" borderId="0" xfId="6" applyFont="1" applyFill="1" applyBorder="1" applyAlignment="1"/>
    <xf numFmtId="171" fontId="15" fillId="0" borderId="0" xfId="1" applyNumberFormat="1" applyFont="1"/>
    <xf numFmtId="0" fontId="20" fillId="0" borderId="8" xfId="1" applyFont="1" applyBorder="1" applyAlignment="1">
      <alignment horizontal="center" wrapText="1"/>
    </xf>
    <xf numFmtId="2" fontId="20" fillId="0" borderId="8" xfId="1" applyNumberFormat="1" applyFont="1" applyBorder="1" applyAlignment="1">
      <alignment horizontal="center" wrapText="1"/>
    </xf>
    <xf numFmtId="171" fontId="20" fillId="0" borderId="8" xfId="5" applyFont="1" applyBorder="1" applyAlignment="1">
      <alignment horizontal="center" wrapText="1"/>
    </xf>
    <xf numFmtId="0" fontId="25" fillId="4" borderId="9" xfId="6" applyFont="1" applyFill="1" applyBorder="1"/>
    <xf numFmtId="0" fontId="25" fillId="4" borderId="11" xfId="6" applyFont="1" applyFill="1" applyBorder="1"/>
    <xf numFmtId="0" fontId="25" fillId="4" borderId="10" xfId="6" applyFont="1" applyFill="1" applyBorder="1"/>
    <xf numFmtId="0" fontId="25" fillId="4" borderId="12" xfId="6" applyFont="1" applyFill="1" applyBorder="1"/>
    <xf numFmtId="0" fontId="10" fillId="5" borderId="14" xfId="6" quotePrefix="1" applyFill="1" applyBorder="1" applyAlignment="1">
      <alignment horizontal="left"/>
    </xf>
    <xf numFmtId="2" fontId="10" fillId="6" borderId="15" xfId="6" quotePrefix="1" applyNumberFormat="1" applyFill="1" applyBorder="1" applyAlignment="1">
      <alignment horizontal="right"/>
    </xf>
    <xf numFmtId="0" fontId="25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2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1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2" fillId="0" borderId="16" xfId="0" applyFont="1" applyBorder="1"/>
    <xf numFmtId="0" fontId="12" fillId="0" borderId="16" xfId="7" applyNumberFormat="1" applyFont="1" applyBorder="1" applyAlignment="1" applyProtection="1"/>
    <xf numFmtId="165" fontId="12" fillId="0" borderId="16" xfId="7" applyNumberFormat="1" applyFont="1" applyBorder="1" applyAlignment="1" applyProtection="1"/>
    <xf numFmtId="164" fontId="12" fillId="0" borderId="16" xfId="7" applyNumberFormat="1" applyFont="1" applyBorder="1" applyAlignment="1" applyProtection="1"/>
    <xf numFmtId="11" fontId="12" fillId="0" borderId="16" xfId="0" applyNumberFormat="1" applyFont="1" applyBorder="1"/>
    <xf numFmtId="167" fontId="12" fillId="0" borderId="16" xfId="7" applyNumberFormat="1" applyFont="1" applyBorder="1" applyAlignment="1" applyProtection="1"/>
    <xf numFmtId="168" fontId="12" fillId="0" borderId="16" xfId="7" applyNumberFormat="1" applyFont="1" applyBorder="1" applyAlignment="1" applyProtection="1"/>
    <xf numFmtId="0" fontId="0" fillId="0" borderId="16" xfId="0" applyBorder="1" applyAlignment="1"/>
    <xf numFmtId="2" fontId="12" fillId="0" borderId="16" xfId="7" applyNumberFormat="1" applyFont="1" applyBorder="1" applyAlignment="1" applyProtection="1"/>
    <xf numFmtId="169" fontId="12" fillId="0" borderId="16" xfId="7" applyNumberFormat="1" applyFont="1" applyBorder="1" applyAlignment="1" applyProtection="1"/>
    <xf numFmtId="37" fontId="12" fillId="0" borderId="16" xfId="7" applyNumberFormat="1" applyFont="1" applyBorder="1" applyAlignment="1" applyProtection="1"/>
    <xf numFmtId="0" fontId="12" fillId="0" borderId="16" xfId="0" applyFont="1" applyBorder="1" applyAlignment="1">
      <alignment horizontal="right"/>
    </xf>
    <xf numFmtId="0" fontId="11" fillId="0" borderId="26" xfId="0" applyFont="1" applyBorder="1"/>
    <xf numFmtId="0" fontId="12" fillId="0" borderId="22" xfId="0" applyFont="1" applyBorder="1" applyAlignment="1"/>
    <xf numFmtId="0" fontId="26" fillId="0" borderId="16" xfId="8" applyNumberFormat="1" applyBorder="1" applyAlignment="1" applyProtection="1"/>
    <xf numFmtId="0" fontId="27" fillId="0" borderId="0" xfId="0" applyFont="1"/>
    <xf numFmtId="0" fontId="26" fillId="0" borderId="0" xfId="8" applyBorder="1"/>
    <xf numFmtId="0" fontId="26" fillId="0" borderId="0" xfId="8"/>
    <xf numFmtId="0" fontId="29" fillId="0" borderId="0" xfId="0" applyFont="1"/>
    <xf numFmtId="0" fontId="30" fillId="0" borderId="0" xfId="0" applyFont="1"/>
    <xf numFmtId="0" fontId="10" fillId="5" borderId="14" xfId="6" quotePrefix="1" applyFont="1" applyFill="1" applyBorder="1" applyAlignment="1">
      <alignment horizontal="left"/>
    </xf>
    <xf numFmtId="0" fontId="9" fillId="5" borderId="14" xfId="6" applyFont="1" applyFill="1" applyBorder="1"/>
    <xf numFmtId="0" fontId="9" fillId="5" borderId="13" xfId="6" applyFont="1" applyFill="1" applyBorder="1"/>
    <xf numFmtId="172" fontId="12" fillId="0" borderId="16" xfId="7" applyNumberFormat="1" applyFont="1" applyBorder="1" applyAlignment="1" applyProtection="1"/>
    <xf numFmtId="172" fontId="19" fillId="0" borderId="7" xfId="1" applyNumberFormat="1" applyFont="1" applyFill="1" applyBorder="1" applyAlignment="1">
      <alignment horizontal="right"/>
    </xf>
    <xf numFmtId="173" fontId="12" fillId="0" borderId="16" xfId="7" applyNumberFormat="1" applyFont="1" applyBorder="1" applyAlignment="1" applyProtection="1"/>
    <xf numFmtId="0" fontId="11" fillId="7" borderId="16" xfId="0" applyFont="1" applyFill="1" applyBorder="1"/>
    <xf numFmtId="0" fontId="11" fillId="7" borderId="0" xfId="0" applyFont="1" applyFill="1" applyBorder="1"/>
    <xf numFmtId="165" fontId="11" fillId="7" borderId="16" xfId="0" applyNumberFormat="1" applyFont="1" applyFill="1" applyBorder="1"/>
    <xf numFmtId="0" fontId="11" fillId="7" borderId="16" xfId="0" applyFont="1" applyFill="1" applyBorder="1" applyAlignment="1">
      <alignment horizontal="right"/>
    </xf>
    <xf numFmtId="0" fontId="11" fillId="8" borderId="16" xfId="0" applyFont="1" applyFill="1" applyBorder="1"/>
    <xf numFmtId="0" fontId="11" fillId="8" borderId="16" xfId="0" applyFont="1" applyFill="1" applyBorder="1" applyAlignment="1">
      <alignment horizontal="left"/>
    </xf>
    <xf numFmtId="0" fontId="11" fillId="8" borderId="2" xfId="0" applyFont="1" applyFill="1" applyBorder="1"/>
    <xf numFmtId="0" fontId="11" fillId="8" borderId="27" xfId="0" applyFont="1" applyFill="1" applyBorder="1"/>
    <xf numFmtId="0" fontId="11" fillId="8" borderId="5" xfId="0" applyFont="1" applyFill="1" applyBorder="1"/>
    <xf numFmtId="0" fontId="11" fillId="8" borderId="3" xfId="0" applyFont="1" applyFill="1" applyBorder="1"/>
    <xf numFmtId="0" fontId="11" fillId="8" borderId="3" xfId="0" applyFont="1" applyFill="1" applyBorder="1" applyAlignment="1">
      <alignment horizontal="right"/>
    </xf>
    <xf numFmtId="165" fontId="11" fillId="8" borderId="5" xfId="0" applyNumberFormat="1" applyFont="1" applyFill="1" applyBorder="1"/>
    <xf numFmtId="0" fontId="11" fillId="8" borderId="22" xfId="0" applyFont="1" applyFill="1" applyBorder="1"/>
    <xf numFmtId="0" fontId="11" fillId="8" borderId="5" xfId="0" applyFont="1" applyFill="1" applyBorder="1" applyAlignment="1">
      <alignment horizontal="right"/>
    </xf>
    <xf numFmtId="0" fontId="19" fillId="9" borderId="3" xfId="1" applyFont="1" applyFill="1" applyBorder="1" applyProtection="1">
      <protection locked="0"/>
    </xf>
    <xf numFmtId="0" fontId="19" fillId="9" borderId="3" xfId="1" applyFont="1" applyFill="1" applyBorder="1" applyAlignment="1">
      <alignment horizontal="left"/>
    </xf>
    <xf numFmtId="18" fontId="19" fillId="9" borderId="3" xfId="1" applyNumberFormat="1" applyFont="1" applyFill="1" applyBorder="1" applyAlignment="1" applyProtection="1">
      <protection locked="0"/>
    </xf>
    <xf numFmtId="172" fontId="19" fillId="9" borderId="3" xfId="5" applyNumberFormat="1" applyFont="1" applyFill="1" applyBorder="1" applyProtection="1">
      <protection locked="0"/>
    </xf>
    <xf numFmtId="172" fontId="19" fillId="9" borderId="3" xfId="1" applyNumberFormat="1" applyFont="1" applyFill="1" applyBorder="1" applyAlignment="1" applyProtection="1">
      <alignment horizontal="center"/>
      <protection locked="0"/>
    </xf>
    <xf numFmtId="172" fontId="19" fillId="9" borderId="3" xfId="1" applyNumberFormat="1" applyFont="1" applyFill="1" applyBorder="1" applyAlignment="1">
      <alignment horizontal="right"/>
    </xf>
    <xf numFmtId="0" fontId="19" fillId="9" borderId="3" xfId="1" applyFont="1" applyFill="1" applyBorder="1" applyAlignment="1">
      <alignment horizontal="center"/>
    </xf>
    <xf numFmtId="0" fontId="19" fillId="10" borderId="3" xfId="1" applyFont="1" applyFill="1" applyBorder="1" applyProtection="1">
      <protection locked="0"/>
    </xf>
    <xf numFmtId="18" fontId="19" fillId="10" borderId="3" xfId="1" applyNumberFormat="1" applyFont="1" applyFill="1" applyBorder="1" applyAlignment="1" applyProtection="1">
      <protection locked="0"/>
    </xf>
    <xf numFmtId="0" fontId="26" fillId="10" borderId="3" xfId="8" applyFill="1" applyBorder="1" applyAlignment="1">
      <alignment horizontal="left"/>
    </xf>
    <xf numFmtId="172" fontId="19" fillId="10" borderId="3" xfId="5" applyNumberFormat="1" applyFont="1" applyFill="1" applyBorder="1" applyProtection="1">
      <protection locked="0"/>
    </xf>
    <xf numFmtId="172" fontId="19" fillId="10" borderId="3" xfId="1" applyNumberFormat="1" applyFont="1" applyFill="1" applyBorder="1" applyAlignment="1" applyProtection="1">
      <alignment horizontal="center"/>
      <protection locked="0"/>
    </xf>
    <xf numFmtId="172" fontId="19" fillId="10" borderId="3" xfId="1" applyNumberFormat="1" applyFont="1" applyFill="1" applyBorder="1" applyAlignment="1">
      <alignment horizontal="right"/>
    </xf>
    <xf numFmtId="0" fontId="19" fillId="10" borderId="3" xfId="1" applyFont="1" applyFill="1" applyBorder="1" applyAlignment="1">
      <alignment horizontal="center"/>
    </xf>
    <xf numFmtId="0" fontId="19" fillId="10" borderId="3" xfId="1" applyFont="1" applyFill="1" applyBorder="1" applyAlignment="1" applyProtection="1">
      <alignment horizontal="center"/>
      <protection locked="0"/>
    </xf>
    <xf numFmtId="170" fontId="39" fillId="0" borderId="0" xfId="11" applyFont="1" applyFill="1" applyBorder="1">
      <alignment vertical="center" wrapText="1"/>
    </xf>
    <xf numFmtId="0" fontId="12" fillId="0" borderId="16" xfId="0" applyNumberFormat="1" applyFont="1" applyBorder="1"/>
    <xf numFmtId="165" fontId="34" fillId="0" borderId="28" xfId="29" applyFont="1" applyFill="1" applyBorder="1" applyAlignment="1" applyProtection="1"/>
    <xf numFmtId="39" fontId="34" fillId="0" borderId="28" xfId="29" applyNumberFormat="1" applyFont="1" applyFill="1" applyBorder="1" applyAlignment="1" applyProtection="1"/>
    <xf numFmtId="37" fontId="34" fillId="0" borderId="30" xfId="29" applyNumberFormat="1" applyFont="1" applyFill="1" applyBorder="1" applyAlignment="1" applyProtection="1"/>
    <xf numFmtId="165" fontId="34" fillId="0" borderId="30" xfId="29" applyFont="1" applyFill="1" applyBorder="1" applyAlignment="1" applyProtection="1"/>
    <xf numFmtId="37" fontId="34" fillId="0" borderId="28" xfId="29" applyNumberFormat="1" applyFont="1" applyFill="1" applyBorder="1" applyAlignment="1" applyProtection="1"/>
    <xf numFmtId="0" fontId="23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4" fillId="0" borderId="28" xfId="31" applyFont="1" applyFill="1" applyBorder="1"/>
    <xf numFmtId="0" fontId="34" fillId="0" borderId="28" xfId="31" applyNumberFormat="1" applyFont="1" applyFill="1" applyBorder="1"/>
    <xf numFmtId="0" fontId="34" fillId="0" borderId="29" xfId="31" applyFont="1" applyFill="1" applyBorder="1"/>
    <xf numFmtId="4" fontId="34" fillId="0" borderId="28" xfId="31" applyNumberFormat="1" applyFont="1" applyFill="1" applyBorder="1"/>
    <xf numFmtId="2" fontId="34" fillId="0" borderId="28" xfId="31" applyNumberFormat="1" applyFont="1" applyFill="1" applyBorder="1"/>
    <xf numFmtId="18" fontId="26" fillId="9" borderId="3" xfId="8" applyNumberFormat="1" applyFill="1" applyBorder="1" applyAlignment="1" applyProtection="1">
      <protection locked="0"/>
    </xf>
    <xf numFmtId="0" fontId="34" fillId="0" borderId="3" xfId="9" applyFont="1" applyFill="1" applyBorder="1" applyAlignment="1" applyProtection="1">
      <alignment wrapText="1"/>
    </xf>
    <xf numFmtId="0" fontId="34" fillId="0" borderId="3" xfId="9" applyFont="1" applyFill="1" applyBorder="1" applyAlignment="1">
      <alignment horizontal="left" wrapText="1"/>
    </xf>
    <xf numFmtId="1" fontId="12" fillId="0" borderId="3" xfId="7" applyNumberFormat="1" applyFont="1" applyBorder="1" applyAlignment="1" applyProtection="1"/>
    <xf numFmtId="178" fontId="12" fillId="0" borderId="3" xfId="0" applyNumberFormat="1" applyFont="1" applyBorder="1" applyAlignment="1"/>
    <xf numFmtId="170" fontId="39" fillId="0" borderId="3" xfId="11" applyNumberFormat="1" applyFont="1" applyFill="1" applyBorder="1">
      <alignment vertical="center" wrapText="1"/>
    </xf>
    <xf numFmtId="165" fontId="12" fillId="0" borderId="31" xfId="7" applyNumberFormat="1" applyFont="1" applyBorder="1" applyAlignment="1" applyProtection="1"/>
    <xf numFmtId="0" fontId="19" fillId="9" borderId="3" xfId="1" applyFont="1" applyFill="1" applyBorder="1" applyAlignment="1" applyProtection="1">
      <alignment horizontal="center"/>
      <protection locked="0"/>
    </xf>
    <xf numFmtId="0" fontId="13" fillId="0" borderId="17" xfId="33" applyBorder="1"/>
    <xf numFmtId="0" fontId="13" fillId="0" borderId="18" xfId="33" applyBorder="1"/>
    <xf numFmtId="0" fontId="13" fillId="0" borderId="19" xfId="33" applyBorder="1"/>
    <xf numFmtId="0" fontId="13" fillId="0" borderId="0" xfId="33"/>
    <xf numFmtId="0" fontId="11" fillId="7" borderId="16" xfId="33" applyFont="1" applyFill="1" applyBorder="1"/>
    <xf numFmtId="0" fontId="12" fillId="0" borderId="0" xfId="33" applyFont="1" applyBorder="1"/>
    <xf numFmtId="0" fontId="13" fillId="0" borderId="0" xfId="33" applyBorder="1"/>
    <xf numFmtId="0" fontId="12" fillId="0" borderId="16" xfId="33" applyFont="1" applyBorder="1" applyAlignment="1">
      <alignment horizontal="right"/>
    </xf>
    <xf numFmtId="0" fontId="13" fillId="0" borderId="20" xfId="33" applyBorder="1"/>
    <xf numFmtId="0" fontId="13" fillId="0" borderId="0" xfId="33" applyFont="1" applyBorder="1"/>
    <xf numFmtId="0" fontId="11" fillId="7" borderId="0" xfId="33" applyFont="1" applyFill="1" applyBorder="1"/>
    <xf numFmtId="0" fontId="12" fillId="0" borderId="0" xfId="33" applyFont="1" applyBorder="1" applyAlignment="1">
      <alignment horizontal="left"/>
    </xf>
    <xf numFmtId="0" fontId="13" fillId="0" borderId="21" xfId="33" applyBorder="1"/>
    <xf numFmtId="0" fontId="12" fillId="0" borderId="16" xfId="33" applyFont="1" applyBorder="1"/>
    <xf numFmtId="0" fontId="12" fillId="0" borderId="16" xfId="33" applyNumberFormat="1" applyFont="1" applyBorder="1"/>
    <xf numFmtId="0" fontId="13" fillId="0" borderId="0" xfId="33" applyFont="1"/>
    <xf numFmtId="0" fontId="13" fillId="0" borderId="20" xfId="33" applyFont="1" applyBorder="1"/>
    <xf numFmtId="0" fontId="11" fillId="7" borderId="16" xfId="33" applyFont="1" applyFill="1" applyBorder="1" applyAlignment="1">
      <alignment horizontal="right"/>
    </xf>
    <xf numFmtId="165" fontId="11" fillId="7" borderId="16" xfId="33" applyNumberFormat="1" applyFont="1" applyFill="1" applyBorder="1"/>
    <xf numFmtId="11" fontId="12" fillId="0" borderId="16" xfId="33" applyNumberFormat="1" applyFont="1" applyBorder="1"/>
    <xf numFmtId="0" fontId="34" fillId="0" borderId="28" xfId="34" applyFont="1" applyFill="1" applyBorder="1"/>
    <xf numFmtId="0" fontId="34" fillId="0" borderId="28" xfId="34" applyFont="1" applyFill="1" applyBorder="1" applyAlignment="1">
      <alignment wrapText="1"/>
    </xf>
    <xf numFmtId="0" fontId="12" fillId="0" borderId="16" xfId="33" applyFont="1" applyBorder="1" applyAlignment="1"/>
    <xf numFmtId="11" fontId="12" fillId="0" borderId="16" xfId="33" applyNumberFormat="1" applyFont="1" applyBorder="1" applyAlignment="1"/>
    <xf numFmtId="0" fontId="13" fillId="0" borderId="16" xfId="33" applyBorder="1" applyAlignment="1"/>
    <xf numFmtId="0" fontId="13" fillId="0" borderId="20" xfId="33" applyBorder="1" applyAlignment="1"/>
    <xf numFmtId="0" fontId="13" fillId="0" borderId="0" xfId="33" applyAlignment="1"/>
    <xf numFmtId="0" fontId="11" fillId="0" borderId="21" xfId="33" applyFont="1" applyBorder="1"/>
    <xf numFmtId="0" fontId="11" fillId="0" borderId="0" xfId="33" applyFont="1" applyBorder="1"/>
    <xf numFmtId="0" fontId="13" fillId="0" borderId="20" xfId="33" applyBorder="1" applyAlignment="1">
      <alignment wrapText="1"/>
    </xf>
    <xf numFmtId="0" fontId="13" fillId="0" borderId="0" xfId="33" applyAlignment="1">
      <alignment wrapText="1"/>
    </xf>
    <xf numFmtId="0" fontId="34" fillId="0" borderId="28" xfId="34" applyNumberFormat="1" applyFont="1" applyFill="1" applyBorder="1"/>
    <xf numFmtId="0" fontId="33" fillId="0" borderId="0" xfId="9"/>
    <xf numFmtId="4" fontId="34" fillId="0" borderId="28" xfId="34" applyNumberFormat="1" applyFont="1" applyFill="1" applyBorder="1"/>
    <xf numFmtId="0" fontId="23" fillId="0" borderId="28" xfId="34" applyFont="1" applyFill="1" applyBorder="1"/>
    <xf numFmtId="2" fontId="34" fillId="0" borderId="28" xfId="34" applyNumberFormat="1" applyFont="1" applyFill="1" applyBorder="1"/>
    <xf numFmtId="0" fontId="13" fillId="0" borderId="0" xfId="33" applyBorder="1" applyAlignment="1">
      <alignment wrapText="1"/>
    </xf>
    <xf numFmtId="0" fontId="13" fillId="0" borderId="23" xfId="33" applyBorder="1"/>
    <xf numFmtId="0" fontId="13" fillId="0" borderId="24" xfId="33" applyBorder="1"/>
    <xf numFmtId="0" fontId="13" fillId="0" borderId="25" xfId="33" applyBorder="1"/>
    <xf numFmtId="0" fontId="11" fillId="8" borderId="16" xfId="33" applyFont="1" applyFill="1" applyBorder="1"/>
    <xf numFmtId="0" fontId="11" fillId="8" borderId="16" xfId="33" applyFont="1" applyFill="1" applyBorder="1" applyAlignment="1">
      <alignment horizontal="left"/>
    </xf>
    <xf numFmtId="0" fontId="11" fillId="8" borderId="2" xfId="33" applyFont="1" applyFill="1" applyBorder="1"/>
    <xf numFmtId="49" fontId="12" fillId="0" borderId="0" xfId="33" applyNumberFormat="1" applyFont="1" applyBorder="1" applyAlignment="1">
      <alignment horizontal="left"/>
    </xf>
    <xf numFmtId="0" fontId="11" fillId="0" borderId="26" xfId="33" applyFont="1" applyBorder="1"/>
    <xf numFmtId="0" fontId="11" fillId="0" borderId="4" xfId="33" applyFont="1" applyBorder="1"/>
    <xf numFmtId="0" fontId="11" fillId="8" borderId="27" xfId="33" applyFont="1" applyFill="1" applyBorder="1"/>
    <xf numFmtId="0" fontId="11" fillId="8" borderId="5" xfId="33" applyFont="1" applyFill="1" applyBorder="1"/>
    <xf numFmtId="0" fontId="11" fillId="8" borderId="3" xfId="33" applyFont="1" applyFill="1" applyBorder="1"/>
    <xf numFmtId="0" fontId="12" fillId="0" borderId="22" xfId="33" applyFont="1" applyBorder="1" applyAlignment="1"/>
    <xf numFmtId="0" fontId="13" fillId="0" borderId="3" xfId="33" applyBorder="1"/>
    <xf numFmtId="0" fontId="12" fillId="0" borderId="3" xfId="33" applyFont="1" applyBorder="1" applyAlignment="1"/>
    <xf numFmtId="11" fontId="12" fillId="0" borderId="3" xfId="33" applyNumberFormat="1" applyFont="1" applyBorder="1" applyAlignment="1"/>
    <xf numFmtId="0" fontId="11" fillId="8" borderId="3" xfId="33" applyFont="1" applyFill="1" applyBorder="1" applyAlignment="1">
      <alignment horizontal="right"/>
    </xf>
    <xf numFmtId="165" fontId="11" fillId="8" borderId="5" xfId="33" applyNumberFormat="1" applyFont="1" applyFill="1" applyBorder="1"/>
    <xf numFmtId="176" fontId="13" fillId="0" borderId="0" xfId="33" applyNumberFormat="1"/>
    <xf numFmtId="0" fontId="11" fillId="8" borderId="22" xfId="33" applyFont="1" applyFill="1" applyBorder="1"/>
    <xf numFmtId="0" fontId="13" fillId="0" borderId="22" xfId="33" applyBorder="1" applyAlignment="1">
      <alignment wrapText="1"/>
    </xf>
    <xf numFmtId="0" fontId="13" fillId="0" borderId="3" xfId="33" applyBorder="1" applyAlignment="1">
      <alignment wrapText="1"/>
    </xf>
    <xf numFmtId="0" fontId="12" fillId="0" borderId="22" xfId="33" applyFont="1" applyBorder="1"/>
    <xf numFmtId="0" fontId="12" fillId="0" borderId="3" xfId="33" applyFont="1" applyBorder="1"/>
    <xf numFmtId="0" fontId="13" fillId="0" borderId="22" xfId="33" applyBorder="1"/>
    <xf numFmtId="0" fontId="11" fillId="8" borderId="5" xfId="33" applyFont="1" applyFill="1" applyBorder="1" applyAlignment="1">
      <alignment horizontal="right"/>
    </xf>
    <xf numFmtId="0" fontId="11" fillId="8" borderId="31" xfId="33" applyFont="1" applyFill="1" applyBorder="1"/>
    <xf numFmtId="0" fontId="12" fillId="0" borderId="32" xfId="7" applyNumberFormat="1" applyFont="1" applyBorder="1" applyAlignment="1" applyProtection="1"/>
    <xf numFmtId="176" fontId="12" fillId="0" borderId="3" xfId="33" applyNumberFormat="1" applyFont="1" applyBorder="1" applyAlignment="1"/>
    <xf numFmtId="0" fontId="12" fillId="0" borderId="3" xfId="33" applyNumberFormat="1" applyFont="1" applyBorder="1"/>
    <xf numFmtId="0" fontId="13" fillId="10" borderId="0" xfId="33" applyFill="1"/>
    <xf numFmtId="49" fontId="26" fillId="0" borderId="0" xfId="8" applyNumberFormat="1"/>
    <xf numFmtId="0" fontId="33" fillId="0" borderId="3" xfId="9" applyBorder="1"/>
    <xf numFmtId="0" fontId="34" fillId="0" borderId="3" xfId="30" applyFont="1" applyFill="1" applyBorder="1" applyAlignment="1">
      <alignment wrapText="1"/>
    </xf>
    <xf numFmtId="170" fontId="34" fillId="0" borderId="3" xfId="3" applyFont="1" applyFill="1" applyBorder="1"/>
    <xf numFmtId="170" fontId="34" fillId="0" borderId="3" xfId="3" applyNumberFormat="1" applyFont="1" applyFill="1" applyBorder="1" applyAlignment="1"/>
    <xf numFmtId="177" fontId="34" fillId="0" borderId="3" xfId="9" applyNumberFormat="1" applyFont="1" applyFill="1" applyBorder="1" applyAlignment="1">
      <alignment horizontal="right" wrapText="1"/>
    </xf>
    <xf numFmtId="0" fontId="34" fillId="0" borderId="3" xfId="9" applyFont="1" applyFill="1" applyBorder="1"/>
    <xf numFmtId="0" fontId="34" fillId="0" borderId="3" xfId="9" applyFont="1" applyFill="1" applyBorder="1" applyAlignment="1">
      <alignment wrapText="1"/>
    </xf>
    <xf numFmtId="0" fontId="11" fillId="0" borderId="0" xfId="9" applyFont="1" applyBorder="1"/>
    <xf numFmtId="0" fontId="33" fillId="0" borderId="20" xfId="9" applyBorder="1" applyAlignment="1">
      <alignment wrapText="1"/>
    </xf>
    <xf numFmtId="0" fontId="33" fillId="0" borderId="0" xfId="9" applyBorder="1"/>
    <xf numFmtId="0" fontId="33" fillId="0" borderId="20" xfId="9" applyBorder="1"/>
    <xf numFmtId="0" fontId="34" fillId="0" borderId="3" xfId="9" applyNumberFormat="1" applyFont="1" applyFill="1" applyBorder="1" applyAlignment="1">
      <alignment wrapText="1"/>
    </xf>
    <xf numFmtId="0" fontId="13" fillId="0" borderId="0" xfId="9" applyFont="1" applyBorder="1"/>
    <xf numFmtId="0" fontId="13" fillId="0" borderId="20" xfId="9" applyFont="1" applyBorder="1"/>
    <xf numFmtId="0" fontId="34" fillId="0" borderId="6" xfId="30" applyFont="1" applyFill="1" applyBorder="1" applyAlignment="1">
      <alignment wrapText="1"/>
    </xf>
    <xf numFmtId="0" fontId="33" fillId="0" borderId="0" xfId="9" applyAlignment="1">
      <alignment wrapText="1"/>
    </xf>
    <xf numFmtId="0" fontId="39" fillId="0" borderId="3" xfId="9" applyFont="1" applyBorder="1"/>
    <xf numFmtId="0" fontId="12" fillId="0" borderId="33" xfId="0" applyFont="1" applyBorder="1"/>
    <xf numFmtId="0" fontId="34" fillId="0" borderId="29" xfId="31" applyFont="1" applyFill="1" applyBorder="1" applyAlignment="1">
      <alignment wrapText="1"/>
    </xf>
    <xf numFmtId="165" fontId="12" fillId="0" borderId="33" xfId="7" applyNumberFormat="1" applyFont="1" applyBorder="1" applyAlignment="1" applyProtection="1"/>
    <xf numFmtId="164" fontId="12" fillId="0" borderId="33" xfId="7" applyNumberFormat="1" applyFont="1" applyBorder="1" applyAlignment="1" applyProtection="1"/>
    <xf numFmtId="2" fontId="12" fillId="0" borderId="33" xfId="7" applyNumberFormat="1" applyFont="1" applyBorder="1" applyAlignment="1" applyProtection="1"/>
    <xf numFmtId="0" fontId="0" fillId="0" borderId="33" xfId="0" applyBorder="1" applyAlignment="1"/>
    <xf numFmtId="165" fontId="11" fillId="7" borderId="34" xfId="0" applyNumberFormat="1" applyFont="1" applyFill="1" applyBorder="1"/>
    <xf numFmtId="0" fontId="11" fillId="7" borderId="36" xfId="0" applyFont="1" applyFill="1" applyBorder="1"/>
    <xf numFmtId="0" fontId="43" fillId="0" borderId="28" xfId="31" applyFont="1" applyFill="1" applyBorder="1"/>
    <xf numFmtId="0" fontId="11" fillId="15" borderId="16" xfId="9" applyFont="1" applyFill="1" applyBorder="1"/>
    <xf numFmtId="170" fontId="34" fillId="0" borderId="3" xfId="36" applyFont="1" applyFill="1" applyBorder="1"/>
    <xf numFmtId="170" fontId="34" fillId="0" borderId="3" xfId="36" applyNumberFormat="1" applyFont="1" applyFill="1" applyBorder="1"/>
    <xf numFmtId="0" fontId="11" fillId="0" borderId="21" xfId="9" applyFont="1" applyBorder="1"/>
    <xf numFmtId="165" fontId="11" fillId="7" borderId="34" xfId="9" applyNumberFormat="1" applyFont="1" applyFill="1" applyBorder="1"/>
    <xf numFmtId="0" fontId="11" fillId="7" borderId="34" xfId="9" applyFont="1" applyFill="1" applyBorder="1" applyAlignment="1">
      <alignment horizontal="right"/>
    </xf>
    <xf numFmtId="11" fontId="12" fillId="0" borderId="16" xfId="7" applyNumberFormat="1" applyFont="1" applyBorder="1" applyAlignment="1" applyProtection="1"/>
    <xf numFmtId="0" fontId="12" fillId="0" borderId="3" xfId="9" applyFont="1" applyBorder="1" applyAlignment="1">
      <alignment wrapText="1"/>
    </xf>
    <xf numFmtId="0" fontId="12" fillId="0" borderId="3" xfId="30" applyFont="1" applyFill="1" applyBorder="1" applyAlignment="1">
      <alignment wrapText="1"/>
    </xf>
    <xf numFmtId="170" fontId="12" fillId="0" borderId="3" xfId="3" applyFont="1" applyFill="1" applyBorder="1" applyAlignment="1">
      <alignment wrapText="1"/>
    </xf>
    <xf numFmtId="0" fontId="12" fillId="0" borderId="3" xfId="9" applyFont="1" applyFill="1" applyBorder="1"/>
    <xf numFmtId="0" fontId="12" fillId="0" borderId="3" xfId="9" applyFont="1" applyFill="1" applyBorder="1" applyAlignment="1">
      <alignment wrapText="1"/>
    </xf>
    <xf numFmtId="170" fontId="12" fillId="0" borderId="3" xfId="3" applyFont="1" applyFill="1" applyBorder="1"/>
    <xf numFmtId="1" fontId="12" fillId="0" borderId="3" xfId="9" applyNumberFormat="1" applyFont="1" applyFill="1" applyBorder="1"/>
    <xf numFmtId="1" fontId="12" fillId="0" borderId="3" xfId="9" applyNumberFormat="1" applyFont="1" applyBorder="1" applyAlignment="1">
      <alignment wrapText="1"/>
    </xf>
    <xf numFmtId="181" fontId="12" fillId="0" borderId="16" xfId="7" applyNumberFormat="1" applyFont="1" applyBorder="1" applyAlignment="1" applyProtection="1"/>
    <xf numFmtId="182" fontId="12" fillId="0" borderId="3" xfId="0" applyNumberFormat="1" applyFont="1" applyBorder="1" applyAlignment="1"/>
    <xf numFmtId="11" fontId="34" fillId="0" borderId="3" xfId="9" applyNumberFormat="1" applyFont="1" applyFill="1" applyBorder="1" applyAlignment="1">
      <alignment horizontal="right" wrapText="1"/>
    </xf>
    <xf numFmtId="0" fontId="11" fillId="7" borderId="34" xfId="0" applyFont="1" applyFill="1" applyBorder="1" applyAlignment="1">
      <alignment horizontal="right"/>
    </xf>
    <xf numFmtId="18" fontId="19" fillId="10" borderId="37" xfId="1" applyNumberFormat="1" applyFont="1" applyFill="1" applyBorder="1" applyAlignment="1" applyProtection="1">
      <protection locked="0"/>
    </xf>
    <xf numFmtId="0" fontId="19" fillId="10" borderId="37" xfId="1" applyFont="1" applyFill="1" applyBorder="1" applyAlignment="1">
      <alignment horizontal="center"/>
    </xf>
    <xf numFmtId="0" fontId="26" fillId="9" borderId="3" xfId="8" applyFill="1" applyBorder="1" applyAlignment="1">
      <alignment horizontal="left"/>
    </xf>
    <xf numFmtId="0" fontId="39" fillId="0" borderId="0" xfId="39" applyFont="1" applyBorder="1"/>
    <xf numFmtId="0" fontId="0" fillId="0" borderId="43" xfId="0" applyBorder="1"/>
    <xf numFmtId="170" fontId="39" fillId="0" borderId="0" xfId="39" applyNumberFormat="1" applyFont="1" applyBorder="1"/>
    <xf numFmtId="0" fontId="0" fillId="0" borderId="42" xfId="0" applyBorder="1"/>
    <xf numFmtId="0" fontId="39" fillId="0" borderId="0" xfId="39" applyFont="1" applyBorder="1" applyAlignment="1">
      <alignment horizontal="right"/>
    </xf>
    <xf numFmtId="37" fontId="39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6" fillId="0" borderId="0" xfId="8" applyFill="1" applyBorder="1"/>
    <xf numFmtId="170" fontId="34" fillId="0" borderId="3" xfId="36" applyFont="1" applyFill="1" applyBorder="1"/>
    <xf numFmtId="170" fontId="34" fillId="0" borderId="3" xfId="3" applyFont="1" applyFill="1" applyBorder="1"/>
    <xf numFmtId="170" fontId="34" fillId="0" borderId="3" xfId="36" applyNumberFormat="1" applyFont="1" applyFill="1" applyBorder="1"/>
    <xf numFmtId="0" fontId="26" fillId="0" borderId="0" xfId="8"/>
    <xf numFmtId="0" fontId="34" fillId="0" borderId="3" xfId="30" applyFont="1" applyFill="1" applyBorder="1" applyAlignment="1">
      <alignment wrapText="1"/>
    </xf>
    <xf numFmtId="165" fontId="12" fillId="0" borderId="3" xfId="7" applyNumberFormat="1" applyFont="1" applyBorder="1" applyAlignment="1" applyProtection="1"/>
    <xf numFmtId="164" fontId="12" fillId="0" borderId="3" xfId="7" applyNumberFormat="1" applyFont="1" applyBorder="1" applyAlignment="1" applyProtection="1"/>
    <xf numFmtId="0" fontId="39" fillId="0" borderId="44" xfId="39" applyFont="1" applyBorder="1"/>
    <xf numFmtId="0" fontId="44" fillId="0" borderId="44" xfId="39" applyFont="1" applyBorder="1"/>
    <xf numFmtId="0" fontId="44" fillId="0" borderId="0" xfId="39" applyFont="1" applyBorder="1"/>
    <xf numFmtId="1" fontId="34" fillId="0" borderId="46" xfId="42" applyNumberFormat="1" applyFont="1" applyFill="1" applyBorder="1"/>
    <xf numFmtId="0" fontId="34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4" fillId="16" borderId="38" xfId="39" applyFont="1" applyFill="1" applyBorder="1"/>
    <xf numFmtId="183" fontId="44" fillId="16" borderId="39" xfId="39" applyNumberFormat="1" applyFont="1" applyFill="1" applyBorder="1"/>
    <xf numFmtId="0" fontId="44" fillId="16" borderId="5" xfId="39" applyFont="1" applyFill="1" applyBorder="1" applyAlignment="1">
      <alignment horizontal="right"/>
    </xf>
    <xf numFmtId="170" fontId="44" fillId="16" borderId="39" xfId="39" applyNumberFormat="1" applyFont="1" applyFill="1" applyBorder="1"/>
    <xf numFmtId="0" fontId="44" fillId="16" borderId="46" xfId="39" applyFont="1" applyFill="1" applyBorder="1"/>
    <xf numFmtId="11" fontId="0" fillId="0" borderId="0" xfId="0" applyNumberFormat="1"/>
    <xf numFmtId="170" fontId="34" fillId="0" borderId="46" xfId="3" applyFont="1" applyFill="1" applyBorder="1"/>
    <xf numFmtId="170" fontId="34" fillId="0" borderId="46" xfId="3" applyNumberFormat="1" applyFont="1" applyFill="1" applyBorder="1" applyAlignment="1"/>
    <xf numFmtId="0" fontId="42" fillId="0" borderId="45" xfId="30" applyFont="1" applyFill="1" applyBorder="1" applyAlignment="1">
      <alignment wrapText="1"/>
    </xf>
    <xf numFmtId="0" fontId="45" fillId="0" borderId="46" xfId="39" applyFont="1" applyBorder="1"/>
    <xf numFmtId="0" fontId="42" fillId="13" borderId="46" xfId="42" applyFont="1" applyFill="1" applyBorder="1"/>
    <xf numFmtId="0" fontId="42" fillId="0" borderId="46" xfId="30" applyFont="1" applyFill="1" applyBorder="1" applyAlignment="1">
      <alignment wrapText="1"/>
    </xf>
    <xf numFmtId="0" fontId="45" fillId="0" borderId="0" xfId="39" applyFont="1" applyBorder="1"/>
    <xf numFmtId="170" fontId="42" fillId="13" borderId="46" xfId="42" applyNumberFormat="1" applyFont="1" applyFill="1" applyBorder="1"/>
    <xf numFmtId="170" fontId="42" fillId="0" borderId="46" xfId="3" applyNumberFormat="1" applyFont="1" applyFill="1" applyBorder="1" applyAlignment="1"/>
    <xf numFmtId="0" fontId="46" fillId="0" borderId="0" xfId="39" applyFont="1" applyBorder="1"/>
    <xf numFmtId="184" fontId="45" fillId="0" borderId="46" xfId="40" applyNumberFormat="1" applyFont="1" applyBorder="1"/>
    <xf numFmtId="0" fontId="42" fillId="0" borderId="0" xfId="0" applyFont="1" applyBorder="1"/>
    <xf numFmtId="0" fontId="11" fillId="8" borderId="51" xfId="0" applyFont="1" applyFill="1" applyBorder="1"/>
    <xf numFmtId="0" fontId="44" fillId="16" borderId="47" xfId="39" applyFont="1" applyFill="1" applyBorder="1"/>
    <xf numFmtId="0" fontId="34" fillId="0" borderId="46" xfId="42" applyFont="1" applyFill="1" applyBorder="1" applyAlignment="1" applyProtection="1">
      <alignment wrapText="1"/>
    </xf>
    <xf numFmtId="0" fontId="34" fillId="0" borderId="46" xfId="42" applyFont="1" applyFill="1" applyBorder="1" applyAlignment="1">
      <alignment horizontal="left"/>
    </xf>
    <xf numFmtId="177" fontId="34" fillId="0" borderId="46" xfId="42" applyNumberFormat="1" applyFont="1" applyFill="1" applyBorder="1"/>
    <xf numFmtId="0" fontId="34" fillId="0" borderId="46" xfId="42" applyFont="1" applyFill="1" applyBorder="1"/>
    <xf numFmtId="43" fontId="34" fillId="0" borderId="46" xfId="41" applyFont="1" applyFill="1" applyBorder="1"/>
    <xf numFmtId="11" fontId="34" fillId="0" borderId="46" xfId="42" applyNumberFormat="1" applyFont="1" applyFill="1" applyBorder="1" applyAlignment="1">
      <alignment wrapText="1"/>
    </xf>
    <xf numFmtId="11" fontId="34" fillId="0" borderId="46" xfId="41" applyNumberFormat="1" applyFont="1" applyFill="1" applyBorder="1"/>
    <xf numFmtId="0" fontId="34" fillId="0" borderId="46" xfId="41" applyNumberFormat="1" applyFont="1" applyFill="1" applyBorder="1"/>
    <xf numFmtId="170" fontId="34" fillId="0" borderId="46" xfId="36" applyNumberFormat="1" applyFont="1" applyFill="1" applyBorder="1"/>
    <xf numFmtId="170" fontId="39" fillId="0" borderId="46" xfId="43" applyFont="1" applyFill="1" applyBorder="1">
      <alignment vertical="center" wrapText="1"/>
    </xf>
    <xf numFmtId="11" fontId="4" fillId="0" borderId="46" xfId="39" applyNumberFormat="1" applyBorder="1"/>
    <xf numFmtId="0" fontId="34" fillId="0" borderId="46" xfId="39" applyFont="1" applyFill="1" applyBorder="1" applyAlignment="1" applyProtection="1">
      <alignment vertical="center" wrapText="1"/>
    </xf>
    <xf numFmtId="0" fontId="42" fillId="0" borderId="47" xfId="42" applyFont="1" applyBorder="1"/>
    <xf numFmtId="0" fontId="42" fillId="0" borderId="46" xfId="42" applyFont="1" applyBorder="1" applyAlignment="1">
      <alignment wrapText="1"/>
    </xf>
    <xf numFmtId="170" fontId="42" fillId="0" borderId="46" xfId="3" applyFont="1" applyFill="1" applyBorder="1"/>
    <xf numFmtId="0" fontId="42" fillId="0" borderId="46" xfId="42" applyFont="1" applyBorder="1"/>
    <xf numFmtId="0" fontId="42" fillId="0" borderId="47" xfId="42" applyFont="1" applyFill="1" applyBorder="1"/>
    <xf numFmtId="0" fontId="34" fillId="0" borderId="46" xfId="30" applyFont="1" applyFill="1" applyBorder="1" applyAlignment="1">
      <alignment wrapText="1"/>
    </xf>
    <xf numFmtId="175" fontId="42" fillId="0" borderId="46" xfId="42" applyNumberFormat="1" applyFont="1" applyFill="1" applyBorder="1"/>
    <xf numFmtId="0" fontId="39" fillId="0" borderId="3" xfId="9" applyFont="1" applyBorder="1" applyAlignment="1">
      <alignment wrapText="1"/>
    </xf>
    <xf numFmtId="0" fontId="39" fillId="0" borderId="3" xfId="30" applyFont="1" applyFill="1" applyBorder="1" applyAlignment="1">
      <alignment wrapText="1"/>
    </xf>
    <xf numFmtId="170" fontId="39" fillId="0" borderId="3" xfId="3" applyFont="1" applyFill="1" applyBorder="1" applyAlignment="1">
      <alignment wrapText="1"/>
    </xf>
    <xf numFmtId="170" fontId="39" fillId="0" borderId="3" xfId="3" applyNumberFormat="1" applyFont="1" applyFill="1" applyBorder="1" applyAlignment="1">
      <alignment wrapText="1"/>
    </xf>
    <xf numFmtId="0" fontId="39" fillId="0" borderId="3" xfId="9" applyFont="1" applyFill="1" applyBorder="1"/>
    <xf numFmtId="0" fontId="39" fillId="0" borderId="3" xfId="9" applyFont="1" applyFill="1" applyBorder="1" applyAlignment="1">
      <alignment wrapText="1"/>
    </xf>
    <xf numFmtId="170" fontId="39" fillId="0" borderId="3" xfId="3" applyFont="1" applyFill="1" applyBorder="1"/>
    <xf numFmtId="1" fontId="39" fillId="0" borderId="3" xfId="9" applyNumberFormat="1" applyFont="1" applyFill="1" applyBorder="1"/>
    <xf numFmtId="170" fontId="39" fillId="0" borderId="3" xfId="3" applyNumberFormat="1" applyFont="1" applyFill="1" applyBorder="1" applyAlignment="1"/>
    <xf numFmtId="0" fontId="47" fillId="0" borderId="17" xfId="0" applyFont="1" applyBorder="1"/>
    <xf numFmtId="0" fontId="47" fillId="0" borderId="18" xfId="0" applyFont="1" applyBorder="1"/>
    <xf numFmtId="0" fontId="47" fillId="0" borderId="19" xfId="0" applyFont="1" applyBorder="1"/>
    <xf numFmtId="0" fontId="44" fillId="8" borderId="16" xfId="0" applyFont="1" applyFill="1" applyBorder="1"/>
    <xf numFmtId="0" fontId="39" fillId="0" borderId="0" xfId="0" applyFont="1" applyBorder="1"/>
    <xf numFmtId="0" fontId="47" fillId="0" borderId="0" xfId="0" applyFont="1" applyBorder="1"/>
    <xf numFmtId="0" fontId="48" fillId="0" borderId="0" xfId="8" applyFont="1" applyBorder="1"/>
    <xf numFmtId="0" fontId="44" fillId="8" borderId="16" xfId="0" applyFont="1" applyFill="1" applyBorder="1" applyAlignment="1">
      <alignment horizontal="left"/>
    </xf>
    <xf numFmtId="0" fontId="39" fillId="0" borderId="16" xfId="0" applyFont="1" applyBorder="1" applyAlignment="1">
      <alignment horizontal="right"/>
    </xf>
    <xf numFmtId="165" fontId="39" fillId="0" borderId="16" xfId="7" applyNumberFormat="1" applyFont="1" applyBorder="1" applyAlignment="1" applyProtection="1"/>
    <xf numFmtId="0" fontId="47" fillId="0" borderId="20" xfId="0" applyFont="1" applyBorder="1"/>
    <xf numFmtId="0" fontId="47" fillId="0" borderId="0" xfId="0" applyFont="1"/>
    <xf numFmtId="37" fontId="39" fillId="0" borderId="16" xfId="7" applyNumberFormat="1" applyFont="1" applyBorder="1" applyAlignment="1" applyProtection="1"/>
    <xf numFmtId="0" fontId="44" fillId="8" borderId="2" xfId="0" applyFont="1" applyFill="1" applyBorder="1"/>
    <xf numFmtId="0" fontId="39" fillId="0" borderId="16" xfId="7" applyNumberFormat="1" applyFont="1" applyBorder="1" applyAlignment="1" applyProtection="1"/>
    <xf numFmtId="49" fontId="39" fillId="0" borderId="0" xfId="0" applyNumberFormat="1" applyFont="1" applyBorder="1" applyAlignment="1">
      <alignment horizontal="left"/>
    </xf>
    <xf numFmtId="0" fontId="44" fillId="0" borderId="26" xfId="0" applyFont="1" applyBorder="1"/>
    <xf numFmtId="0" fontId="44" fillId="0" borderId="4" xfId="0" applyFont="1" applyBorder="1"/>
    <xf numFmtId="0" fontId="44" fillId="8" borderId="27" xfId="0" applyFont="1" applyFill="1" applyBorder="1"/>
    <xf numFmtId="0" fontId="44" fillId="8" borderId="5" xfId="0" applyFont="1" applyFill="1" applyBorder="1"/>
    <xf numFmtId="0" fontId="44" fillId="8" borderId="3" xfId="0" applyFont="1" applyFill="1" applyBorder="1"/>
    <xf numFmtId="0" fontId="39" fillId="0" borderId="22" xfId="0" applyFont="1" applyBorder="1" applyAlignment="1"/>
    <xf numFmtId="0" fontId="39" fillId="0" borderId="3" xfId="9" applyFont="1" applyFill="1" applyBorder="1" applyAlignment="1" applyProtection="1">
      <alignment wrapText="1"/>
    </xf>
    <xf numFmtId="0" fontId="39" fillId="0" borderId="3" xfId="9" applyFont="1" applyFill="1" applyBorder="1" applyAlignment="1">
      <alignment horizontal="left" wrapText="1"/>
    </xf>
    <xf numFmtId="178" fontId="39" fillId="0" borderId="3" xfId="0" applyNumberFormat="1" applyFont="1" applyBorder="1" applyAlignment="1"/>
    <xf numFmtId="0" fontId="39" fillId="0" borderId="3" xfId="0" applyFont="1" applyBorder="1" applyAlignment="1"/>
    <xf numFmtId="164" fontId="39" fillId="0" borderId="3" xfId="7" applyNumberFormat="1" applyFont="1" applyBorder="1" applyAlignment="1" applyProtection="1"/>
    <xf numFmtId="11" fontId="39" fillId="0" borderId="3" xfId="0" applyNumberFormat="1" applyFont="1" applyBorder="1" applyAlignment="1"/>
    <xf numFmtId="11" fontId="39" fillId="0" borderId="16" xfId="7" applyNumberFormat="1" applyFont="1" applyBorder="1" applyAlignment="1" applyProtection="1"/>
    <xf numFmtId="164" fontId="39" fillId="0" borderId="16" xfId="7" applyNumberFormat="1" applyFont="1" applyBorder="1" applyAlignment="1" applyProtection="1"/>
    <xf numFmtId="0" fontId="47" fillId="0" borderId="16" xfId="0" applyFont="1" applyBorder="1" applyAlignment="1"/>
    <xf numFmtId="1" fontId="39" fillId="0" borderId="3" xfId="7" applyNumberFormat="1" applyFont="1" applyBorder="1" applyAlignment="1" applyProtection="1"/>
    <xf numFmtId="165" fontId="39" fillId="0" borderId="3" xfId="7" applyNumberFormat="1" applyFont="1" applyBorder="1" applyAlignment="1" applyProtection="1"/>
    <xf numFmtId="0" fontId="47" fillId="0" borderId="20" xfId="0" applyFont="1" applyBorder="1" applyAlignment="1"/>
    <xf numFmtId="0" fontId="44" fillId="0" borderId="21" xfId="0" applyFont="1" applyBorder="1"/>
    <xf numFmtId="0" fontId="44" fillId="0" borderId="0" xfId="0" applyFont="1" applyBorder="1"/>
    <xf numFmtId="0" fontId="44" fillId="8" borderId="3" xfId="0" applyFont="1" applyFill="1" applyBorder="1" applyAlignment="1">
      <alignment horizontal="right"/>
    </xf>
    <xf numFmtId="165" fontId="44" fillId="8" borderId="5" xfId="0" applyNumberFormat="1" applyFont="1" applyFill="1" applyBorder="1"/>
    <xf numFmtId="0" fontId="47" fillId="0" borderId="21" xfId="0" applyFont="1" applyBorder="1"/>
    <xf numFmtId="0" fontId="44" fillId="8" borderId="22" xfId="0" applyFont="1" applyFill="1" applyBorder="1"/>
    <xf numFmtId="177" fontId="39" fillId="0" borderId="3" xfId="9" applyNumberFormat="1" applyFont="1" applyFill="1" applyBorder="1" applyAlignment="1">
      <alignment horizontal="right" wrapText="1"/>
    </xf>
    <xf numFmtId="0" fontId="47" fillId="0" borderId="0" xfId="0" applyFont="1" applyBorder="1" applyAlignment="1">
      <alignment wrapText="1"/>
    </xf>
    <xf numFmtId="0" fontId="47" fillId="0" borderId="20" xfId="0" applyFont="1" applyBorder="1" applyAlignment="1">
      <alignment wrapText="1"/>
    </xf>
    <xf numFmtId="0" fontId="44" fillId="8" borderId="5" xfId="0" applyFont="1" applyFill="1" applyBorder="1" applyAlignment="1">
      <alignment horizontal="right"/>
    </xf>
    <xf numFmtId="0" fontId="47" fillId="0" borderId="23" xfId="0" applyFont="1" applyBorder="1"/>
    <xf numFmtId="0" fontId="47" fillId="0" borderId="24" xfId="0" applyFont="1" applyBorder="1"/>
    <xf numFmtId="0" fontId="47" fillId="0" borderId="25" xfId="0" applyFont="1" applyBorder="1"/>
    <xf numFmtId="0" fontId="48" fillId="0" borderId="0" xfId="8" applyFont="1"/>
    <xf numFmtId="0" fontId="39" fillId="0" borderId="0" xfId="0" applyFont="1" applyBorder="1" applyAlignment="1">
      <alignment horizontal="left"/>
    </xf>
    <xf numFmtId="0" fontId="47" fillId="0" borderId="3" xfId="0" applyFont="1" applyBorder="1"/>
    <xf numFmtId="0" fontId="39" fillId="13" borderId="3" xfId="9" applyFont="1" applyFill="1" applyBorder="1"/>
    <xf numFmtId="170" fontId="39" fillId="13" borderId="3" xfId="9" applyNumberFormat="1" applyFont="1" applyFill="1" applyBorder="1"/>
    <xf numFmtId="0" fontId="47" fillId="0" borderId="3" xfId="9" applyFont="1" applyBorder="1"/>
    <xf numFmtId="170" fontId="47" fillId="0" borderId="3" xfId="9" applyNumberFormat="1" applyFont="1" applyBorder="1"/>
    <xf numFmtId="181" fontId="39" fillId="0" borderId="16" xfId="7" applyNumberFormat="1" applyFont="1" applyBorder="1" applyAlignment="1" applyProtection="1"/>
    <xf numFmtId="0" fontId="39" fillId="0" borderId="16" xfId="0" applyFont="1" applyBorder="1"/>
    <xf numFmtId="0" fontId="39" fillId="0" borderId="3" xfId="9" applyFont="1" applyFill="1" applyBorder="1" applyAlignment="1"/>
    <xf numFmtId="0" fontId="39" fillId="0" borderId="3" xfId="9" applyFont="1" applyFill="1" applyBorder="1" applyAlignment="1" applyProtection="1"/>
    <xf numFmtId="170" fontId="39" fillId="0" borderId="3" xfId="3" applyFont="1" applyFill="1" applyBorder="1" applyAlignment="1"/>
    <xf numFmtId="0" fontId="39" fillId="0" borderId="3" xfId="9" applyNumberFormat="1" applyFont="1" applyFill="1" applyBorder="1" applyAlignment="1"/>
    <xf numFmtId="171" fontId="39" fillId="0" borderId="3" xfId="35" applyFont="1" applyFill="1" applyBorder="1" applyAlignment="1"/>
    <xf numFmtId="11" fontId="39" fillId="0" borderId="3" xfId="9" applyNumberFormat="1" applyFont="1" applyFill="1" applyBorder="1" applyAlignment="1">
      <alignment wrapText="1"/>
    </xf>
    <xf numFmtId="11" fontId="39" fillId="0" borderId="3" xfId="37" applyNumberFormat="1" applyFont="1" applyFill="1" applyBorder="1" applyAlignment="1"/>
    <xf numFmtId="180" fontId="39" fillId="0" borderId="3" xfId="35" applyNumberFormat="1" applyFont="1" applyFill="1" applyBorder="1" applyAlignment="1"/>
    <xf numFmtId="2" fontId="39" fillId="0" borderId="3" xfId="35" applyNumberFormat="1" applyFont="1" applyFill="1" applyBorder="1" applyAlignment="1"/>
    <xf numFmtId="0" fontId="39" fillId="0" borderId="3" xfId="9" applyNumberFormat="1" applyFont="1" applyFill="1" applyBorder="1"/>
    <xf numFmtId="170" fontId="39" fillId="0" borderId="3" xfId="36" applyFont="1" applyFill="1" applyBorder="1"/>
    <xf numFmtId="170" fontId="39" fillId="0" borderId="3" xfId="36" applyNumberFormat="1" applyFont="1" applyFill="1" applyBorder="1"/>
    <xf numFmtId="3" fontId="39" fillId="0" borderId="3" xfId="9" applyNumberFormat="1" applyFont="1" applyBorder="1" applyAlignment="1"/>
    <xf numFmtId="0" fontId="39" fillId="0" borderId="20" xfId="9" applyFont="1" applyBorder="1" applyAlignment="1"/>
    <xf numFmtId="0" fontId="49" fillId="0" borderId="0" xfId="39" applyFont="1" applyBorder="1"/>
    <xf numFmtId="0" fontId="49" fillId="0" borderId="0" xfId="39" applyFont="1" applyBorder="1" applyAlignment="1">
      <alignment horizontal="right"/>
    </xf>
    <xf numFmtId="0" fontId="50" fillId="16" borderId="46" xfId="39" applyFont="1" applyFill="1" applyBorder="1"/>
    <xf numFmtId="170" fontId="49" fillId="0" borderId="0" xfId="39" applyNumberFormat="1" applyFont="1" applyBorder="1"/>
    <xf numFmtId="37" fontId="49" fillId="0" borderId="0" xfId="39" applyNumberFormat="1" applyFont="1" applyBorder="1"/>
    <xf numFmtId="0" fontId="49" fillId="0" borderId="44" xfId="39" applyFont="1" applyBorder="1"/>
    <xf numFmtId="0" fontId="50" fillId="16" borderId="47" xfId="39" applyFont="1" applyFill="1" applyBorder="1"/>
    <xf numFmtId="0" fontId="50" fillId="16" borderId="38" xfId="39" applyFont="1" applyFill="1" applyBorder="1"/>
    <xf numFmtId="170" fontId="49" fillId="0" borderId="46" xfId="43" applyFont="1" applyFill="1" applyBorder="1">
      <alignment vertical="center" wrapText="1"/>
    </xf>
    <xf numFmtId="11" fontId="45" fillId="0" borderId="46" xfId="39" applyNumberFormat="1" applyFont="1" applyBorder="1"/>
    <xf numFmtId="0" fontId="50" fillId="0" borderId="44" xfId="39" applyFont="1" applyBorder="1"/>
    <xf numFmtId="0" fontId="50" fillId="0" borderId="0" xfId="39" applyFont="1" applyBorder="1"/>
    <xf numFmtId="0" fontId="50" fillId="16" borderId="5" xfId="39" applyFont="1" applyFill="1" applyBorder="1" applyAlignment="1">
      <alignment horizontal="right"/>
    </xf>
    <xf numFmtId="0" fontId="51" fillId="0" borderId="40" xfId="0" applyFont="1" applyBorder="1"/>
    <xf numFmtId="0" fontId="51" fillId="0" borderId="41" xfId="0" applyFont="1" applyBorder="1"/>
    <xf numFmtId="0" fontId="51" fillId="0" borderId="42" xfId="0" applyFont="1" applyBorder="1"/>
    <xf numFmtId="0" fontId="50" fillId="8" borderId="51" xfId="0" applyFont="1" applyFill="1" applyBorder="1"/>
    <xf numFmtId="0" fontId="49" fillId="0" borderId="0" xfId="0" applyFont="1" applyBorder="1"/>
    <xf numFmtId="0" fontId="50" fillId="8" borderId="16" xfId="0" applyFont="1" applyFill="1" applyBorder="1"/>
    <xf numFmtId="0" fontId="51" fillId="0" borderId="43" xfId="0" applyFont="1" applyBorder="1"/>
    <xf numFmtId="0" fontId="52" fillId="0" borderId="0" xfId="8" applyFont="1" applyBorder="1"/>
    <xf numFmtId="0" fontId="49" fillId="0" borderId="16" xfId="0" applyFont="1" applyBorder="1"/>
    <xf numFmtId="49" fontId="49" fillId="0" borderId="0" xfId="0" applyNumberFormat="1" applyFont="1" applyBorder="1" applyAlignment="1">
      <alignment horizontal="left"/>
    </xf>
    <xf numFmtId="0" fontId="49" fillId="0" borderId="47" xfId="42" applyFont="1" applyFill="1" applyBorder="1"/>
    <xf numFmtId="0" fontId="49" fillId="0" borderId="46" xfId="42" applyFont="1" applyFill="1" applyBorder="1" applyAlignment="1" applyProtection="1">
      <alignment wrapText="1"/>
    </xf>
    <xf numFmtId="0" fontId="49" fillId="0" borderId="46" xfId="42" applyFont="1" applyFill="1" applyBorder="1" applyAlignment="1">
      <alignment horizontal="left"/>
    </xf>
    <xf numFmtId="170" fontId="49" fillId="0" borderId="46" xfId="3" applyFont="1" applyFill="1" applyBorder="1"/>
    <xf numFmtId="177" fontId="49" fillId="0" borderId="46" xfId="42" applyNumberFormat="1" applyFont="1" applyFill="1" applyBorder="1"/>
    <xf numFmtId="0" fontId="49" fillId="0" borderId="46" xfId="42" applyFont="1" applyFill="1" applyBorder="1"/>
    <xf numFmtId="43" fontId="49" fillId="0" borderId="46" xfId="41" applyFont="1" applyFill="1" applyBorder="1"/>
    <xf numFmtId="11" fontId="49" fillId="0" borderId="46" xfId="42" applyNumberFormat="1" applyFont="1" applyFill="1" applyBorder="1" applyAlignment="1">
      <alignment wrapText="1"/>
    </xf>
    <xf numFmtId="11" fontId="49" fillId="0" borderId="46" xfId="41" applyNumberFormat="1" applyFont="1" applyFill="1" applyBorder="1"/>
    <xf numFmtId="0" fontId="49" fillId="0" borderId="46" xfId="41" applyNumberFormat="1" applyFont="1" applyFill="1" applyBorder="1"/>
    <xf numFmtId="170" fontId="49" fillId="0" borderId="46" xfId="36" applyNumberFormat="1" applyFont="1" applyFill="1" applyBorder="1"/>
    <xf numFmtId="0" fontId="49" fillId="0" borderId="46" xfId="39" applyFont="1" applyFill="1" applyBorder="1" applyAlignment="1" applyProtection="1">
      <alignment vertical="center" wrapText="1"/>
    </xf>
    <xf numFmtId="0" fontId="45" fillId="0" borderId="47" xfId="42" applyFont="1" applyBorder="1"/>
    <xf numFmtId="0" fontId="45" fillId="0" borderId="46" xfId="30" applyFont="1" applyFill="1" applyBorder="1" applyAlignment="1">
      <alignment wrapText="1"/>
    </xf>
    <xf numFmtId="0" fontId="45" fillId="0" borderId="46" xfId="42" applyFont="1" applyBorder="1" applyAlignment="1">
      <alignment wrapText="1"/>
    </xf>
    <xf numFmtId="170" fontId="45" fillId="0" borderId="46" xfId="3" applyFont="1" applyFill="1" applyBorder="1"/>
    <xf numFmtId="0" fontId="45" fillId="0" borderId="46" xfId="42" applyFont="1" applyBorder="1"/>
    <xf numFmtId="170" fontId="49" fillId="0" borderId="46" xfId="3" applyNumberFormat="1" applyFont="1" applyFill="1" applyBorder="1" applyAlignment="1"/>
    <xf numFmtId="0" fontId="45" fillId="0" borderId="47" xfId="42" applyFont="1" applyFill="1" applyBorder="1"/>
    <xf numFmtId="0" fontId="45" fillId="0" borderId="45" xfId="30" applyFont="1" applyFill="1" applyBorder="1" applyAlignment="1">
      <alignment wrapText="1"/>
    </xf>
    <xf numFmtId="175" fontId="45" fillId="0" borderId="46" xfId="42" applyNumberFormat="1" applyFont="1" applyFill="1" applyBorder="1"/>
    <xf numFmtId="0" fontId="49" fillId="0" borderId="46" xfId="30" applyFont="1" applyFill="1" applyBorder="1" applyAlignment="1">
      <alignment wrapText="1"/>
    </xf>
    <xf numFmtId="0" fontId="45" fillId="13" borderId="46" xfId="42" applyFont="1" applyFill="1" applyBorder="1"/>
    <xf numFmtId="170" fontId="45" fillId="13" borderId="46" xfId="42" applyNumberFormat="1" applyFont="1" applyFill="1" applyBorder="1"/>
    <xf numFmtId="170" fontId="45" fillId="0" borderId="46" xfId="3" applyNumberFormat="1" applyFont="1" applyFill="1" applyBorder="1" applyAlignment="1"/>
    <xf numFmtId="11" fontId="45" fillId="0" borderId="46" xfId="42" applyNumberFormat="1" applyFont="1" applyBorder="1"/>
    <xf numFmtId="0" fontId="45" fillId="0" borderId="0" xfId="0" applyFont="1" applyBorder="1"/>
    <xf numFmtId="0" fontId="51" fillId="0" borderId="0" xfId="0" applyFont="1" applyBorder="1"/>
    <xf numFmtId="0" fontId="51" fillId="0" borderId="48" xfId="0" applyFont="1" applyBorder="1"/>
    <xf numFmtId="0" fontId="51" fillId="0" borderId="49" xfId="0" applyFont="1" applyBorder="1"/>
    <xf numFmtId="0" fontId="51" fillId="0" borderId="50" xfId="0" applyFont="1" applyBorder="1"/>
    <xf numFmtId="0" fontId="26" fillId="0" borderId="33" xfId="8" applyNumberFormat="1" applyBorder="1" applyAlignment="1" applyProtection="1"/>
    <xf numFmtId="0" fontId="26" fillId="0" borderId="46" xfId="8" applyNumberFormat="1" applyBorder="1" applyAlignment="1" applyProtection="1"/>
    <xf numFmtId="0" fontId="12" fillId="0" borderId="46" xfId="0" applyFont="1" applyFill="1" applyBorder="1"/>
    <xf numFmtId="165" fontId="12" fillId="0" borderId="35" xfId="7" applyNumberFormat="1" applyFont="1" applyBorder="1" applyAlignment="1" applyProtection="1"/>
    <xf numFmtId="165" fontId="12" fillId="0" borderId="52" xfId="7" applyNumberFormat="1" applyFont="1" applyBorder="1" applyAlignment="1" applyProtection="1"/>
    <xf numFmtId="0" fontId="19" fillId="10" borderId="46" xfId="1" applyFont="1" applyFill="1" applyBorder="1" applyProtection="1">
      <protection locked="0"/>
    </xf>
    <xf numFmtId="18" fontId="19" fillId="10" borderId="46" xfId="1" applyNumberFormat="1" applyFont="1" applyFill="1" applyBorder="1" applyAlignment="1" applyProtection="1">
      <protection locked="0"/>
    </xf>
    <xf numFmtId="0" fontId="26" fillId="10" borderId="46" xfId="8" applyFill="1" applyBorder="1" applyAlignment="1">
      <alignment horizontal="left"/>
    </xf>
    <xf numFmtId="0" fontId="19" fillId="10" borderId="46" xfId="1" applyFont="1" applyFill="1" applyBorder="1" applyAlignment="1">
      <alignment horizontal="center"/>
    </xf>
    <xf numFmtId="0" fontId="44" fillId="7" borderId="16" xfId="0" applyFont="1" applyFill="1" applyBorder="1"/>
    <xf numFmtId="172" fontId="39" fillId="0" borderId="16" xfId="7" applyNumberFormat="1" applyFont="1" applyBorder="1" applyAlignment="1" applyProtection="1"/>
    <xf numFmtId="0" fontId="44" fillId="7" borderId="0" xfId="0" applyFont="1" applyFill="1" applyBorder="1"/>
    <xf numFmtId="0" fontId="48" fillId="0" borderId="16" xfId="8" applyNumberFormat="1" applyFont="1" applyBorder="1" applyAlignment="1" applyProtection="1"/>
    <xf numFmtId="0" fontId="39" fillId="0" borderId="16" xfId="0" applyNumberFormat="1" applyFont="1" applyBorder="1"/>
    <xf numFmtId="0" fontId="39" fillId="0" borderId="20" xfId="7" applyNumberFormat="1" applyFont="1" applyBorder="1" applyAlignment="1"/>
    <xf numFmtId="0" fontId="39" fillId="0" borderId="46" xfId="0" applyFont="1" applyFill="1" applyBorder="1"/>
    <xf numFmtId="0" fontId="39" fillId="0" borderId="33" xfId="0" applyFont="1" applyBorder="1"/>
    <xf numFmtId="0" fontId="44" fillId="7" borderId="16" xfId="0" applyFont="1" applyFill="1" applyBorder="1" applyAlignment="1">
      <alignment horizontal="right"/>
    </xf>
    <xf numFmtId="165" fontId="44" fillId="7" borderId="16" xfId="0" applyNumberFormat="1" applyFont="1" applyFill="1" applyBorder="1"/>
    <xf numFmtId="165" fontId="39" fillId="0" borderId="33" xfId="7" applyNumberFormat="1" applyFont="1" applyBorder="1" applyAlignment="1" applyProtection="1"/>
    <xf numFmtId="0" fontId="47" fillId="0" borderId="16" xfId="7" applyNumberFormat="1" applyFont="1" applyBorder="1" applyAlignment="1">
      <alignment wrapText="1"/>
    </xf>
    <xf numFmtId="0" fontId="47" fillId="0" borderId="16" xfId="0" applyFont="1" applyBorder="1"/>
    <xf numFmtId="0" fontId="44" fillId="7" borderId="33" xfId="0" applyFont="1" applyFill="1" applyBorder="1"/>
    <xf numFmtId="0" fontId="44" fillId="7" borderId="34" xfId="0" applyFont="1" applyFill="1" applyBorder="1"/>
    <xf numFmtId="165" fontId="44" fillId="7" borderId="34" xfId="0" applyNumberFormat="1" applyFont="1" applyFill="1" applyBorder="1"/>
    <xf numFmtId="0" fontId="39" fillId="0" borderId="46" xfId="0" applyFont="1" applyBorder="1"/>
    <xf numFmtId="170" fontId="39" fillId="0" borderId="46" xfId="11" applyFont="1" applyFill="1" applyBorder="1">
      <alignment vertical="center" wrapText="1"/>
    </xf>
    <xf numFmtId="164" fontId="39" fillId="0" borderId="46" xfId="7" applyNumberFormat="1" applyFont="1" applyBorder="1" applyAlignment="1" applyProtection="1"/>
    <xf numFmtId="11" fontId="39" fillId="0" borderId="46" xfId="0" applyNumberFormat="1" applyFont="1" applyBorder="1"/>
    <xf numFmtId="167" fontId="39" fillId="0" borderId="46" xfId="7" applyNumberFormat="1" applyFont="1" applyBorder="1" applyAlignment="1" applyProtection="1"/>
    <xf numFmtId="169" fontId="39" fillId="0" borderId="46" xfId="7" applyNumberFormat="1" applyFont="1" applyBorder="1" applyAlignment="1" applyProtection="1"/>
    <xf numFmtId="165" fontId="39" fillId="0" borderId="46" xfId="7" applyNumberFormat="1" applyFont="1" applyBorder="1" applyAlignment="1" applyProtection="1"/>
    <xf numFmtId="0" fontId="39" fillId="0" borderId="46" xfId="31" applyFont="1" applyFill="1" applyBorder="1"/>
    <xf numFmtId="0" fontId="39" fillId="0" borderId="46" xfId="31" applyFont="1" applyFill="1" applyBorder="1" applyAlignment="1">
      <alignment wrapText="1"/>
    </xf>
    <xf numFmtId="0" fontId="39" fillId="0" borderId="46" xfId="0" applyFont="1" applyBorder="1" applyAlignment="1"/>
    <xf numFmtId="11" fontId="39" fillId="0" borderId="46" xfId="0" applyNumberFormat="1" applyFont="1" applyBorder="1" applyAlignment="1"/>
    <xf numFmtId="173" fontId="39" fillId="0" borderId="46" xfId="7" applyNumberFormat="1" applyFont="1" applyBorder="1" applyAlignment="1" applyProtection="1"/>
    <xf numFmtId="168" fontId="39" fillId="0" borderId="46" xfId="7" applyNumberFormat="1" applyFont="1" applyBorder="1" applyAlignment="1" applyProtection="1"/>
    <xf numFmtId="0" fontId="47" fillId="0" borderId="46" xfId="0" applyFont="1" applyBorder="1" applyAlignment="1"/>
    <xf numFmtId="2" fontId="39" fillId="0" borderId="46" xfId="7" applyNumberFormat="1" applyFont="1" applyBorder="1" applyAlignment="1" applyProtection="1"/>
    <xf numFmtId="0" fontId="48" fillId="0" borderId="33" xfId="8" applyNumberFormat="1" applyFont="1" applyBorder="1" applyAlignment="1" applyProtection="1"/>
    <xf numFmtId="0" fontId="39" fillId="0" borderId="33" xfId="0" applyNumberFormat="1" applyFont="1" applyBorder="1"/>
    <xf numFmtId="0" fontId="44" fillId="7" borderId="34" xfId="0" applyFont="1" applyFill="1" applyBorder="1" applyAlignment="1">
      <alignment horizontal="right"/>
    </xf>
    <xf numFmtId="0" fontId="34" fillId="0" borderId="46" xfId="42" applyFont="1" applyFill="1" applyBorder="1" applyAlignment="1"/>
    <xf numFmtId="0" fontId="34" fillId="0" borderId="46" xfId="42" applyFont="1" applyFill="1" applyBorder="1" applyAlignment="1" applyProtection="1"/>
    <xf numFmtId="170" fontId="34" fillId="0" borderId="46" xfId="3" applyFont="1" applyFill="1" applyBorder="1" applyAlignment="1"/>
    <xf numFmtId="0" fontId="34" fillId="0" borderId="46" xfId="42" applyNumberFormat="1" applyFont="1" applyFill="1" applyBorder="1" applyAlignment="1"/>
    <xf numFmtId="171" fontId="34" fillId="0" borderId="46" xfId="35" applyFont="1" applyFill="1" applyBorder="1" applyAlignment="1"/>
    <xf numFmtId="0" fontId="13" fillId="0" borderId="46" xfId="42" applyBorder="1" applyAlignment="1">
      <alignment wrapText="1"/>
    </xf>
    <xf numFmtId="0" fontId="34" fillId="0" borderId="46" xfId="42" applyFont="1" applyBorder="1" applyAlignment="1">
      <alignment wrapText="1"/>
    </xf>
    <xf numFmtId="170" fontId="34" fillId="0" borderId="46" xfId="3" applyFont="1" applyFill="1" applyBorder="1" applyAlignment="1">
      <alignment wrapText="1"/>
    </xf>
    <xf numFmtId="170" fontId="34" fillId="0" borderId="46" xfId="3" applyNumberFormat="1" applyFont="1" applyFill="1" applyBorder="1" applyAlignment="1">
      <alignment wrapText="1"/>
    </xf>
    <xf numFmtId="0" fontId="34" fillId="0" borderId="46" xfId="42" applyFont="1" applyFill="1" applyBorder="1" applyAlignment="1">
      <alignment wrapText="1"/>
    </xf>
    <xf numFmtId="0" fontId="34" fillId="0" borderId="46" xfId="42" applyFont="1" applyBorder="1"/>
    <xf numFmtId="0" fontId="13" fillId="0" borderId="0" xfId="42" applyBorder="1" applyAlignment="1">
      <alignment wrapText="1"/>
    </xf>
    <xf numFmtId="0" fontId="13" fillId="0" borderId="20" xfId="42" applyBorder="1" applyAlignment="1">
      <alignment wrapText="1"/>
    </xf>
    <xf numFmtId="0" fontId="13" fillId="0" borderId="0" xfId="42"/>
    <xf numFmtId="0" fontId="13" fillId="0" borderId="0" xfId="42" applyBorder="1"/>
    <xf numFmtId="0" fontId="13" fillId="0" borderId="20" xfId="42" applyBorder="1"/>
    <xf numFmtId="0" fontId="13" fillId="0" borderId="0" xfId="42" applyFont="1" applyBorder="1"/>
    <xf numFmtId="0" fontId="13" fillId="0" borderId="20" xfId="42" applyFont="1" applyBorder="1"/>
    <xf numFmtId="0" fontId="11" fillId="0" borderId="0" xfId="42" applyFont="1" applyBorder="1"/>
    <xf numFmtId="0" fontId="13" fillId="13" borderId="0" xfId="42" applyFill="1" applyBorder="1"/>
    <xf numFmtId="2" fontId="34" fillId="0" borderId="3" xfId="9" applyNumberFormat="1" applyFont="1" applyFill="1" applyBorder="1" applyAlignment="1">
      <alignment horizontal="right" wrapText="1"/>
    </xf>
    <xf numFmtId="0" fontId="51" fillId="0" borderId="17" xfId="0" applyFont="1" applyBorder="1"/>
    <xf numFmtId="0" fontId="51" fillId="0" borderId="18" xfId="0" applyFont="1" applyBorder="1"/>
    <xf numFmtId="0" fontId="51" fillId="0" borderId="19" xfId="0" applyFont="1" applyBorder="1"/>
    <xf numFmtId="0" fontId="50" fillId="8" borderId="16" xfId="0" applyFont="1" applyFill="1" applyBorder="1" applyAlignment="1">
      <alignment horizontal="left"/>
    </xf>
    <xf numFmtId="0" fontId="49" fillId="0" borderId="16" xfId="0" applyFont="1" applyBorder="1" applyAlignment="1">
      <alignment horizontal="right"/>
    </xf>
    <xf numFmtId="165" fontId="49" fillId="0" borderId="16" xfId="7" applyNumberFormat="1" applyFont="1" applyBorder="1" applyAlignment="1" applyProtection="1"/>
    <xf numFmtId="0" fontId="51" fillId="0" borderId="20" xfId="0" applyFont="1" applyBorder="1"/>
    <xf numFmtId="0" fontId="52" fillId="0" borderId="0" xfId="8" applyFont="1"/>
    <xf numFmtId="37" fontId="49" fillId="0" borderId="16" xfId="7" applyNumberFormat="1" applyFont="1" applyBorder="1" applyAlignment="1" applyProtection="1"/>
    <xf numFmtId="0" fontId="50" fillId="8" borderId="2" xfId="0" applyFont="1" applyFill="1" applyBorder="1"/>
    <xf numFmtId="0" fontId="49" fillId="0" borderId="0" xfId="0" applyFont="1" applyBorder="1" applyAlignment="1">
      <alignment horizontal="left"/>
    </xf>
    <xf numFmtId="0" fontId="50" fillId="0" borderId="26" xfId="0" applyFont="1" applyBorder="1"/>
    <xf numFmtId="0" fontId="50" fillId="0" borderId="4" xfId="0" applyFont="1" applyBorder="1"/>
    <xf numFmtId="0" fontId="50" fillId="8" borderId="27" xfId="0" applyFont="1" applyFill="1" applyBorder="1"/>
    <xf numFmtId="0" fontId="50" fillId="8" borderId="5" xfId="0" applyFont="1" applyFill="1" applyBorder="1"/>
    <xf numFmtId="0" fontId="50" fillId="8" borderId="3" xfId="0" applyFont="1" applyFill="1" applyBorder="1"/>
    <xf numFmtId="0" fontId="49" fillId="0" borderId="22" xfId="0" applyFont="1" applyBorder="1" applyAlignment="1"/>
    <xf numFmtId="0" fontId="51" fillId="0" borderId="3" xfId="0" applyFont="1" applyBorder="1"/>
    <xf numFmtId="0" fontId="49" fillId="0" borderId="3" xfId="0" applyFont="1" applyBorder="1" applyAlignment="1"/>
    <xf numFmtId="165" fontId="49" fillId="0" borderId="3" xfId="7" applyNumberFormat="1" applyFont="1" applyBorder="1" applyAlignment="1" applyProtection="1"/>
    <xf numFmtId="176" fontId="49" fillId="0" borderId="3" xfId="0" applyNumberFormat="1" applyFont="1" applyBorder="1" applyAlignment="1"/>
    <xf numFmtId="164" fontId="49" fillId="0" borderId="3" xfId="7" applyNumberFormat="1" applyFont="1" applyBorder="1" applyAlignment="1" applyProtection="1"/>
    <xf numFmtId="11" fontId="49" fillId="0" borderId="3" xfId="0" applyNumberFormat="1" applyFont="1" applyBorder="1" applyAlignment="1"/>
    <xf numFmtId="2" fontId="49" fillId="0" borderId="16" xfId="7" applyNumberFormat="1" applyFont="1" applyBorder="1" applyAlignment="1" applyProtection="1"/>
    <xf numFmtId="179" fontId="49" fillId="0" borderId="16" xfId="7" applyNumberFormat="1" applyFont="1" applyBorder="1" applyAlignment="1" applyProtection="1"/>
    <xf numFmtId="0" fontId="51" fillId="0" borderId="16" xfId="0" applyFont="1" applyBorder="1" applyAlignment="1"/>
    <xf numFmtId="1" fontId="49" fillId="0" borderId="3" xfId="7" applyNumberFormat="1" applyFont="1" applyBorder="1" applyAlignment="1" applyProtection="1"/>
    <xf numFmtId="0" fontId="51" fillId="0" borderId="20" xfId="0" applyFont="1" applyBorder="1" applyAlignment="1"/>
    <xf numFmtId="0" fontId="50" fillId="0" borderId="21" xfId="0" applyFont="1" applyBorder="1"/>
    <xf numFmtId="0" fontId="50" fillId="0" borderId="0" xfId="0" applyFont="1" applyBorder="1"/>
    <xf numFmtId="0" fontId="50" fillId="8" borderId="3" xfId="0" applyFont="1" applyFill="1" applyBorder="1" applyAlignment="1">
      <alignment horizontal="right"/>
    </xf>
    <xf numFmtId="165" fontId="50" fillId="8" borderId="5" xfId="0" applyNumberFormat="1" applyFont="1" applyFill="1" applyBorder="1"/>
    <xf numFmtId="0" fontId="51" fillId="0" borderId="21" xfId="0" applyFont="1" applyBorder="1"/>
    <xf numFmtId="0" fontId="50" fillId="8" borderId="22" xfId="0" applyFont="1" applyFill="1" applyBorder="1"/>
    <xf numFmtId="0" fontId="50" fillId="8" borderId="5" xfId="0" applyFont="1" applyFill="1" applyBorder="1" applyAlignment="1">
      <alignment horizontal="right"/>
    </xf>
    <xf numFmtId="0" fontId="51" fillId="0" borderId="23" xfId="0" applyFont="1" applyBorder="1"/>
    <xf numFmtId="0" fontId="51" fillId="0" borderId="24" xfId="0" applyFont="1" applyBorder="1"/>
    <xf numFmtId="0" fontId="51" fillId="0" borderId="25" xfId="0" applyFont="1" applyBorder="1"/>
    <xf numFmtId="0" fontId="34" fillId="0" borderId="46" xfId="42" applyFont="1" applyFill="1" applyBorder="1" applyAlignment="1">
      <alignment horizontal="left" wrapText="1"/>
    </xf>
    <xf numFmtId="170" fontId="34" fillId="0" borderId="46" xfId="36" applyFont="1" applyFill="1" applyBorder="1"/>
    <xf numFmtId="0" fontId="45" fillId="0" borderId="46" xfId="39" applyFont="1" applyBorder="1" applyAlignment="1">
      <alignment wrapText="1"/>
    </xf>
    <xf numFmtId="0" fontId="26" fillId="0" borderId="46" xfId="8" applyBorder="1"/>
    <xf numFmtId="0" fontId="12" fillId="0" borderId="33" xfId="0" applyFont="1" applyBorder="1" applyAlignment="1"/>
    <xf numFmtId="11" fontId="12" fillId="0" borderId="33" xfId="0" applyNumberFormat="1" applyFont="1" applyBorder="1" applyAlignment="1"/>
    <xf numFmtId="173" fontId="12" fillId="0" borderId="33" xfId="7" applyNumberFormat="1" applyFont="1" applyBorder="1" applyAlignment="1" applyProtection="1"/>
    <xf numFmtId="168" fontId="12" fillId="0" borderId="33" xfId="7" applyNumberFormat="1" applyFont="1" applyBorder="1" applyAlignment="1" applyProtection="1"/>
    <xf numFmtId="165" fontId="11" fillId="7" borderId="5" xfId="0" applyNumberFormat="1" applyFont="1" applyFill="1" applyBorder="1"/>
    <xf numFmtId="0" fontId="12" fillId="0" borderId="46" xfId="0" applyFont="1" applyBorder="1"/>
    <xf numFmtId="0" fontId="34" fillId="0" borderId="46" xfId="31" applyFont="1" applyFill="1" applyBorder="1"/>
    <xf numFmtId="0" fontId="34" fillId="0" borderId="46" xfId="31" applyFont="1" applyFill="1" applyBorder="1" applyAlignment="1">
      <alignment wrapText="1"/>
    </xf>
    <xf numFmtId="165" fontId="12" fillId="0" borderId="46" xfId="7" applyNumberFormat="1" applyFont="1" applyBorder="1" applyAlignment="1" applyProtection="1"/>
    <xf numFmtId="164" fontId="12" fillId="0" borderId="46" xfId="7" applyNumberFormat="1" applyFont="1" applyBorder="1" applyAlignment="1" applyProtection="1"/>
    <xf numFmtId="2" fontId="12" fillId="0" borderId="46" xfId="7" applyNumberFormat="1" applyFont="1" applyBorder="1" applyAlignment="1" applyProtection="1"/>
    <xf numFmtId="169" fontId="12" fillId="0" borderId="46" xfId="7" applyNumberFormat="1" applyFont="1" applyBorder="1" applyAlignment="1" applyProtection="1"/>
    <xf numFmtId="0" fontId="0" fillId="0" borderId="46" xfId="0" applyBorder="1" applyAlignment="1"/>
    <xf numFmtId="185" fontId="12" fillId="0" borderId="16" xfId="7" applyNumberFormat="1" applyFont="1" applyBorder="1" applyAlignment="1" applyProtection="1"/>
    <xf numFmtId="0" fontId="45" fillId="0" borderId="17" xfId="33" applyFont="1" applyBorder="1"/>
    <xf numFmtId="0" fontId="45" fillId="0" borderId="18" xfId="33" applyFont="1" applyBorder="1"/>
    <xf numFmtId="0" fontId="45" fillId="0" borderId="19" xfId="33" applyFont="1" applyBorder="1"/>
    <xf numFmtId="0" fontId="46" fillId="8" borderId="16" xfId="33" applyFont="1" applyFill="1" applyBorder="1"/>
    <xf numFmtId="0" fontId="45" fillId="0" borderId="0" xfId="33" applyFont="1" applyBorder="1"/>
    <xf numFmtId="0" fontId="53" fillId="0" borderId="0" xfId="8" applyFont="1" applyBorder="1"/>
    <xf numFmtId="0" fontId="46" fillId="8" borderId="16" xfId="33" applyFont="1" applyFill="1" applyBorder="1" applyAlignment="1">
      <alignment horizontal="left"/>
    </xf>
    <xf numFmtId="0" fontId="45" fillId="0" borderId="16" xfId="33" applyFont="1" applyBorder="1" applyAlignment="1">
      <alignment horizontal="right"/>
    </xf>
    <xf numFmtId="165" fontId="45" fillId="0" borderId="16" xfId="7" applyNumberFormat="1" applyFont="1" applyBorder="1" applyAlignment="1" applyProtection="1"/>
    <xf numFmtId="0" fontId="45" fillId="0" borderId="20" xfId="33" applyFont="1" applyBorder="1"/>
    <xf numFmtId="0" fontId="53" fillId="0" borderId="0" xfId="8" applyFont="1"/>
    <xf numFmtId="37" fontId="45" fillId="0" borderId="16" xfId="7" applyNumberFormat="1" applyFont="1" applyBorder="1" applyAlignment="1" applyProtection="1"/>
    <xf numFmtId="0" fontId="46" fillId="8" borderId="2" xfId="33" applyFont="1" applyFill="1" applyBorder="1"/>
    <xf numFmtId="0" fontId="45" fillId="0" borderId="0" xfId="33" applyFont="1" applyBorder="1" applyAlignment="1">
      <alignment horizontal="left"/>
    </xf>
    <xf numFmtId="49" fontId="45" fillId="0" borderId="0" xfId="33" applyNumberFormat="1" applyFont="1" applyBorder="1" applyAlignment="1">
      <alignment horizontal="left"/>
    </xf>
    <xf numFmtId="0" fontId="46" fillId="0" borderId="26" xfId="33" applyFont="1" applyBorder="1"/>
    <xf numFmtId="0" fontId="46" fillId="0" borderId="4" xfId="33" applyFont="1" applyBorder="1"/>
    <xf numFmtId="0" fontId="46" fillId="8" borderId="27" xfId="33" applyFont="1" applyFill="1" applyBorder="1"/>
    <xf numFmtId="0" fontId="46" fillId="8" borderId="5" xfId="33" applyFont="1" applyFill="1" applyBorder="1"/>
    <xf numFmtId="0" fontId="46" fillId="8" borderId="3" xfId="33" applyFont="1" applyFill="1" applyBorder="1"/>
    <xf numFmtId="0" fontId="45" fillId="0" borderId="22" xfId="0" applyFont="1" applyBorder="1" applyAlignment="1"/>
    <xf numFmtId="0" fontId="45" fillId="0" borderId="3" xfId="0" applyFont="1" applyBorder="1"/>
    <xf numFmtId="0" fontId="45" fillId="0" borderId="3" xfId="0" applyFont="1" applyBorder="1" applyAlignment="1"/>
    <xf numFmtId="165" fontId="45" fillId="0" borderId="3" xfId="7" applyNumberFormat="1" applyFont="1" applyBorder="1" applyAlignment="1" applyProtection="1"/>
    <xf numFmtId="176" fontId="45" fillId="0" borderId="3" xfId="0" applyNumberFormat="1" applyFont="1" applyBorder="1" applyAlignment="1"/>
    <xf numFmtId="164" fontId="45" fillId="0" borderId="3" xfId="7" applyNumberFormat="1" applyFont="1" applyBorder="1" applyAlignment="1" applyProtection="1"/>
    <xf numFmtId="11" fontId="45" fillId="0" borderId="3" xfId="0" applyNumberFormat="1" applyFont="1" applyBorder="1" applyAlignment="1"/>
    <xf numFmtId="2" fontId="45" fillId="0" borderId="16" xfId="7" applyNumberFormat="1" applyFont="1" applyBorder="1" applyAlignment="1" applyProtection="1"/>
    <xf numFmtId="179" fontId="45" fillId="0" borderId="16" xfId="7" applyNumberFormat="1" applyFont="1" applyBorder="1" applyAlignment="1" applyProtection="1"/>
    <xf numFmtId="0" fontId="45" fillId="0" borderId="16" xfId="0" applyFont="1" applyBorder="1" applyAlignment="1"/>
    <xf numFmtId="1" fontId="45" fillId="0" borderId="3" xfId="7" applyNumberFormat="1" applyFont="1" applyBorder="1" applyAlignment="1" applyProtection="1"/>
    <xf numFmtId="0" fontId="45" fillId="0" borderId="20" xfId="33" applyFont="1" applyBorder="1" applyAlignment="1"/>
    <xf numFmtId="0" fontId="46" fillId="0" borderId="21" xfId="33" applyFont="1" applyBorder="1"/>
    <xf numFmtId="0" fontId="46" fillId="0" borderId="0" xfId="33" applyFont="1" applyBorder="1"/>
    <xf numFmtId="0" fontId="46" fillId="8" borderId="3" xfId="33" applyFont="1" applyFill="1" applyBorder="1" applyAlignment="1">
      <alignment horizontal="right"/>
    </xf>
    <xf numFmtId="165" fontId="46" fillId="8" borderId="5" xfId="33" applyNumberFormat="1" applyFont="1" applyFill="1" applyBorder="1"/>
    <xf numFmtId="0" fontId="45" fillId="0" borderId="21" xfId="33" applyFont="1" applyBorder="1"/>
    <xf numFmtId="0" fontId="46" fillId="8" borderId="22" xfId="33" applyFont="1" applyFill="1" applyBorder="1"/>
    <xf numFmtId="0" fontId="45" fillId="0" borderId="22" xfId="33" applyFont="1" applyBorder="1" applyAlignment="1">
      <alignment wrapText="1"/>
    </xf>
    <xf numFmtId="0" fontId="45" fillId="0" borderId="3" xfId="7" applyNumberFormat="1" applyFont="1" applyBorder="1" applyAlignment="1">
      <alignment wrapText="1"/>
    </xf>
    <xf numFmtId="0" fontId="45" fillId="0" borderId="3" xfId="33" applyFont="1" applyBorder="1" applyAlignment="1">
      <alignment wrapText="1"/>
    </xf>
    <xf numFmtId="165" fontId="45" fillId="0" borderId="3" xfId="7" applyNumberFormat="1" applyFont="1" applyBorder="1" applyAlignment="1" applyProtection="1">
      <alignment wrapText="1"/>
    </xf>
    <xf numFmtId="0" fontId="45" fillId="0" borderId="0" xfId="33" applyFont="1" applyBorder="1" applyAlignment="1">
      <alignment wrapText="1"/>
    </xf>
    <xf numFmtId="0" fontId="45" fillId="0" borderId="20" xfId="33" applyFont="1" applyBorder="1" applyAlignment="1">
      <alignment wrapText="1"/>
    </xf>
    <xf numFmtId="0" fontId="45" fillId="0" borderId="22" xfId="33" applyFont="1" applyBorder="1"/>
    <xf numFmtId="0" fontId="45" fillId="0" borderId="6" xfId="30" applyFont="1" applyFill="1" applyBorder="1" applyAlignment="1">
      <alignment wrapText="1"/>
    </xf>
    <xf numFmtId="0" fontId="45" fillId="0" borderId="3" xfId="33" applyFont="1" applyBorder="1"/>
    <xf numFmtId="0" fontId="45" fillId="0" borderId="3" xfId="33" applyNumberFormat="1" applyFont="1" applyBorder="1"/>
    <xf numFmtId="0" fontId="46" fillId="8" borderId="5" xfId="33" applyFont="1" applyFill="1" applyBorder="1" applyAlignment="1">
      <alignment horizontal="right"/>
    </xf>
    <xf numFmtId="0" fontId="45" fillId="0" borderId="23" xfId="33" applyFont="1" applyBorder="1"/>
    <xf numFmtId="0" fontId="45" fillId="0" borderId="24" xfId="33" applyFont="1" applyBorder="1"/>
    <xf numFmtId="0" fontId="45" fillId="0" borderId="25" xfId="33" applyFont="1" applyBorder="1"/>
    <xf numFmtId="0" fontId="49" fillId="0" borderId="46" xfId="42" applyFont="1" applyFill="1" applyBorder="1" applyAlignment="1">
      <alignment horizontal="left" wrapText="1"/>
    </xf>
    <xf numFmtId="0" fontId="11" fillId="8" borderId="46" xfId="0" applyFont="1" applyFill="1" applyBorder="1"/>
    <xf numFmtId="0" fontId="49" fillId="0" borderId="47" xfId="42" applyFont="1" applyFill="1" applyBorder="1" applyAlignment="1">
      <alignment wrapText="1"/>
    </xf>
    <xf numFmtId="0" fontId="45" fillId="0" borderId="46" xfId="30" applyFont="1" applyFill="1" applyBorder="1" applyAlignment="1"/>
    <xf numFmtId="0" fontId="49" fillId="0" borderId="46" xfId="42" applyFont="1" applyFill="1" applyBorder="1" applyAlignment="1" applyProtection="1"/>
    <xf numFmtId="0" fontId="45" fillId="13" borderId="46" xfId="42" applyFont="1" applyFill="1" applyBorder="1" applyAlignment="1">
      <alignment wrapText="1"/>
    </xf>
    <xf numFmtId="0" fontId="34" fillId="0" borderId="0" xfId="0" applyFont="1" applyFill="1" applyBorder="1"/>
    <xf numFmtId="0" fontId="11" fillId="7" borderId="33" xfId="0" applyFont="1" applyFill="1" applyBorder="1"/>
    <xf numFmtId="37" fontId="12" fillId="0" borderId="46" xfId="0" applyNumberFormat="1" applyFont="1" applyBorder="1"/>
    <xf numFmtId="11" fontId="12" fillId="0" borderId="46" xfId="0" applyNumberFormat="1" applyFont="1" applyBorder="1"/>
    <xf numFmtId="167" fontId="12" fillId="0" borderId="46" xfId="7" applyNumberFormat="1" applyFont="1" applyBorder="1" applyAlignment="1" applyProtection="1"/>
    <xf numFmtId="0" fontId="12" fillId="0" borderId="46" xfId="0" applyFont="1" applyBorder="1" applyAlignment="1">
      <alignment wrapText="1"/>
    </xf>
    <xf numFmtId="0" fontId="12" fillId="0" borderId="46" xfId="0" applyFont="1" applyBorder="1" applyAlignment="1"/>
    <xf numFmtId="11" fontId="12" fillId="0" borderId="46" xfId="0" applyNumberFormat="1" applyFont="1" applyBorder="1" applyAlignment="1"/>
    <xf numFmtId="173" fontId="12" fillId="0" borderId="46" xfId="7" applyNumberFormat="1" applyFont="1" applyBorder="1" applyAlignment="1" applyProtection="1"/>
    <xf numFmtId="168" fontId="12" fillId="0" borderId="46" xfId="7" applyNumberFormat="1" applyFont="1" applyBorder="1" applyAlignment="1" applyProtection="1"/>
    <xf numFmtId="0" fontId="0" fillId="0" borderId="46" xfId="0" applyBorder="1"/>
    <xf numFmtId="0" fontId="34" fillId="0" borderId="46" xfId="0" applyFont="1" applyFill="1" applyBorder="1" applyAlignment="1" applyProtection="1">
      <alignment vertical="center" wrapText="1"/>
    </xf>
    <xf numFmtId="0" fontId="11" fillId="7" borderId="34" xfId="0" applyFont="1" applyFill="1" applyBorder="1"/>
    <xf numFmtId="0" fontId="34" fillId="0" borderId="16" xfId="0" applyFont="1" applyFill="1" applyBorder="1"/>
    <xf numFmtId="0" fontId="34" fillId="0" borderId="45" xfId="30" applyFont="1" applyFill="1" applyBorder="1" applyAlignment="1">
      <alignment wrapText="1"/>
    </xf>
    <xf numFmtId="165" fontId="34" fillId="0" borderId="16" xfId="7" applyNumberFormat="1" applyFont="1" applyBorder="1" applyAlignment="1" applyProtection="1"/>
    <xf numFmtId="0" fontId="34" fillId="0" borderId="3" xfId="46" applyFont="1" applyFill="1" applyBorder="1"/>
    <xf numFmtId="0" fontId="34" fillId="0" borderId="3" xfId="46" applyNumberFormat="1" applyFont="1" applyFill="1" applyBorder="1"/>
    <xf numFmtId="0" fontId="34" fillId="0" borderId="16" xfId="0" applyFont="1" applyBorder="1"/>
    <xf numFmtId="0" fontId="34" fillId="0" borderId="33" xfId="0" applyFont="1" applyBorder="1"/>
    <xf numFmtId="0" fontId="34" fillId="0" borderId="53" xfId="30" applyFont="1" applyFill="1" applyBorder="1" applyAlignment="1">
      <alignment wrapText="1"/>
    </xf>
    <xf numFmtId="165" fontId="34" fillId="0" borderId="33" xfId="7" applyNumberFormat="1" applyFont="1" applyBorder="1" applyAlignment="1" applyProtection="1"/>
    <xf numFmtId="0" fontId="34" fillId="0" borderId="33" xfId="7" applyNumberFormat="1" applyFont="1" applyBorder="1" applyAlignment="1">
      <alignment wrapText="1"/>
    </xf>
    <xf numFmtId="0" fontId="34" fillId="0" borderId="3" xfId="0" applyFont="1" applyBorder="1"/>
    <xf numFmtId="0" fontId="34" fillId="0" borderId="3" xfId="0" applyNumberFormat="1" applyFont="1" applyFill="1" applyBorder="1"/>
    <xf numFmtId="165" fontId="34" fillId="0" borderId="3" xfId="7" applyNumberFormat="1" applyFont="1" applyBorder="1" applyAlignment="1" applyProtection="1"/>
    <xf numFmtId="0" fontId="34" fillId="0" borderId="3" xfId="7" applyNumberFormat="1" applyFont="1" applyBorder="1" applyAlignment="1">
      <alignment wrapText="1"/>
    </xf>
    <xf numFmtId="186" fontId="12" fillId="0" borderId="16" xfId="0" applyNumberFormat="1" applyFont="1" applyBorder="1"/>
    <xf numFmtId="0" fontId="12" fillId="0" borderId="16" xfId="7" applyNumberFormat="1" applyFont="1" applyBorder="1" applyAlignment="1" applyProtection="1">
      <alignment vertical="center" wrapText="1"/>
    </xf>
    <xf numFmtId="39" fontId="12" fillId="0" borderId="16" xfId="7" applyNumberFormat="1" applyFont="1" applyBorder="1" applyAlignment="1" applyProtection="1"/>
    <xf numFmtId="0" fontId="34" fillId="0" borderId="3" xfId="47" applyFont="1" applyFill="1" applyBorder="1"/>
    <xf numFmtId="0" fontId="34" fillId="0" borderId="0" xfId="0" applyNumberFormat="1" applyFont="1" applyFill="1" applyBorder="1"/>
    <xf numFmtId="0" fontId="23" fillId="0" borderId="0" xfId="30" applyFont="1" applyFill="1" applyBorder="1" applyAlignment="1">
      <alignment wrapText="1"/>
    </xf>
    <xf numFmtId="0" fontId="12" fillId="0" borderId="3" xfId="0" applyFont="1" applyBorder="1" applyAlignment="1" applyProtection="1"/>
    <xf numFmtId="187" fontId="12" fillId="0" borderId="3" xfId="0" applyNumberFormat="1" applyFont="1" applyBorder="1" applyAlignment="1"/>
    <xf numFmtId="188" fontId="12" fillId="0" borderId="3" xfId="7" applyNumberFormat="1" applyFont="1" applyBorder="1" applyAlignment="1" applyProtection="1"/>
    <xf numFmtId="168" fontId="12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1" fillId="0" borderId="0" xfId="0" applyNumberFormat="1" applyFont="1" applyBorder="1"/>
    <xf numFmtId="0" fontId="12" fillId="0" borderId="3" xfId="0" applyFont="1" applyBorder="1"/>
    <xf numFmtId="0" fontId="0" fillId="0" borderId="5" xfId="0" applyBorder="1"/>
    <xf numFmtId="165" fontId="12" fillId="0" borderId="5" xfId="7" applyNumberFormat="1" applyFont="1" applyBorder="1" applyAlignment="1" applyProtection="1"/>
    <xf numFmtId="37" fontId="19" fillId="9" borderId="3" xfId="1" applyNumberFormat="1" applyFont="1" applyFill="1" applyBorder="1" applyAlignment="1" applyProtection="1">
      <alignment horizontal="center"/>
      <protection locked="0"/>
    </xf>
    <xf numFmtId="37" fontId="19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3" fillId="0" borderId="45" xfId="30" applyFont="1" applyFill="1" applyBorder="1" applyAlignment="1"/>
    <xf numFmtId="0" fontId="42" fillId="0" borderId="22" xfId="0" applyFont="1" applyBorder="1" applyAlignment="1">
      <alignment wrapText="1"/>
    </xf>
    <xf numFmtId="0" fontId="42" fillId="0" borderId="3" xfId="0" applyFont="1" applyBorder="1" applyAlignment="1"/>
    <xf numFmtId="165" fontId="42" fillId="0" borderId="3" xfId="7" applyNumberFormat="1" applyFont="1" applyBorder="1" applyAlignment="1" applyProtection="1">
      <alignment wrapText="1"/>
    </xf>
    <xf numFmtId="0" fontId="42" fillId="0" borderId="3" xfId="7" applyNumberFormat="1" applyFont="1" applyBorder="1" applyAlignment="1">
      <alignment wrapText="1"/>
    </xf>
    <xf numFmtId="0" fontId="42" fillId="0" borderId="3" xfId="0" applyFont="1" applyBorder="1" applyAlignment="1">
      <alignment wrapText="1"/>
    </xf>
    <xf numFmtId="0" fontId="42" fillId="0" borderId="22" xfId="0" applyFont="1" applyBorder="1"/>
    <xf numFmtId="0" fontId="42" fillId="0" borderId="3" xfId="0" applyFont="1" applyBorder="1"/>
    <xf numFmtId="165" fontId="42" fillId="0" borderId="3" xfId="7" applyNumberFormat="1" applyFont="1" applyBorder="1" applyAlignment="1" applyProtection="1"/>
    <xf numFmtId="175" fontId="42" fillId="0" borderId="3" xfId="0" applyNumberFormat="1" applyFont="1" applyBorder="1"/>
    <xf numFmtId="0" fontId="19" fillId="9" borderId="46" xfId="1" applyFont="1" applyFill="1" applyBorder="1" applyProtection="1">
      <protection locked="0"/>
    </xf>
    <xf numFmtId="0" fontId="19" fillId="9" borderId="46" xfId="1" applyFont="1" applyFill="1" applyBorder="1" applyAlignment="1">
      <alignment horizontal="left"/>
    </xf>
    <xf numFmtId="18" fontId="19" fillId="9" borderId="46" xfId="1" applyNumberFormat="1" applyFont="1" applyFill="1" applyBorder="1" applyAlignment="1" applyProtection="1">
      <protection locked="0"/>
    </xf>
    <xf numFmtId="0" fontId="26" fillId="9" borderId="46" xfId="8" applyFill="1" applyBorder="1" applyAlignment="1">
      <alignment horizontal="left"/>
    </xf>
    <xf numFmtId="172" fontId="19" fillId="9" borderId="46" xfId="5" applyNumberFormat="1" applyFont="1" applyFill="1" applyBorder="1" applyProtection="1">
      <protection locked="0"/>
    </xf>
    <xf numFmtId="37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>
      <alignment horizontal="right"/>
    </xf>
    <xf numFmtId="0" fontId="19" fillId="9" borderId="46" xfId="1" applyFont="1" applyFill="1" applyBorder="1" applyAlignment="1">
      <alignment horizontal="center"/>
    </xf>
    <xf numFmtId="0" fontId="19" fillId="10" borderId="46" xfId="1" applyFont="1" applyFill="1" applyBorder="1" applyAlignment="1">
      <alignment horizontal="left"/>
    </xf>
    <xf numFmtId="172" fontId="19" fillId="10" borderId="46" xfId="5" applyNumberFormat="1" applyFont="1" applyFill="1" applyBorder="1" applyProtection="1">
      <protection locked="0"/>
    </xf>
    <xf numFmtId="37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>
      <alignment horizontal="right"/>
    </xf>
    <xf numFmtId="0" fontId="19" fillId="10" borderId="46" xfId="1" applyFont="1" applyFill="1" applyBorder="1" applyAlignment="1" applyProtection="1">
      <alignment horizontal="center"/>
      <protection locked="0"/>
    </xf>
    <xf numFmtId="0" fontId="11" fillId="7" borderId="51" xfId="0" applyFont="1" applyFill="1" applyBorder="1"/>
    <xf numFmtId="0" fontId="26" fillId="0" borderId="0" xfId="8" applyNumberFormat="1" applyBorder="1" applyAlignment="1" applyProtection="1"/>
    <xf numFmtId="0" fontId="0" fillId="0" borderId="44" xfId="0" applyBorder="1"/>
    <xf numFmtId="0" fontId="11" fillId="7" borderId="54" xfId="0" applyFont="1" applyFill="1" applyBorder="1"/>
    <xf numFmtId="0" fontId="12" fillId="0" borderId="55" xfId="0" applyFont="1" applyBorder="1"/>
    <xf numFmtId="0" fontId="26" fillId="0" borderId="3" xfId="8" applyNumberFormat="1" applyBorder="1" applyAlignment="1" applyProtection="1"/>
    <xf numFmtId="37" fontId="12" fillId="0" borderId="3" xfId="0" applyNumberFormat="1" applyFont="1" applyBorder="1"/>
    <xf numFmtId="0" fontId="26" fillId="0" borderId="3" xfId="8" applyBorder="1"/>
    <xf numFmtId="0" fontId="26" fillId="0" borderId="3" xfId="8" applyNumberFormat="1" applyFill="1" applyBorder="1" applyAlignment="1" applyProtection="1"/>
    <xf numFmtId="0" fontId="12" fillId="0" borderId="43" xfId="7" applyNumberFormat="1" applyFont="1" applyBorder="1" applyAlignment="1"/>
    <xf numFmtId="0" fontId="12" fillId="0" borderId="55" xfId="0" applyFont="1" applyFill="1" applyBorder="1"/>
    <xf numFmtId="0" fontId="12" fillId="0" borderId="51" xfId="0" applyFont="1" applyBorder="1"/>
    <xf numFmtId="0" fontId="12" fillId="0" borderId="16" xfId="0" applyFont="1" applyBorder="1" applyAlignment="1">
      <alignment wrapText="1"/>
    </xf>
    <xf numFmtId="0" fontId="12" fillId="0" borderId="16" xfId="0" applyFont="1" applyBorder="1" applyAlignment="1"/>
    <xf numFmtId="11" fontId="12" fillId="0" borderId="16" xfId="0" applyNumberFormat="1" applyFont="1" applyBorder="1" applyAlignment="1"/>
    <xf numFmtId="0" fontId="0" fillId="0" borderId="43" xfId="0" applyBorder="1" applyAlignment="1"/>
    <xf numFmtId="0" fontId="11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2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3" fillId="0" borderId="3" xfId="30" applyFont="1" applyFill="1" applyBorder="1" applyAlignment="1">
      <alignment wrapText="1"/>
    </xf>
    <xf numFmtId="0" fontId="12" fillId="0" borderId="56" xfId="0" applyFont="1" applyBorder="1"/>
    <xf numFmtId="0" fontId="34" fillId="0" borderId="3" xfId="49" applyNumberFormat="1" applyFont="1" applyFill="1" applyBorder="1"/>
    <xf numFmtId="0" fontId="44" fillId="17" borderId="3" xfId="49" applyFont="1" applyFill="1" applyBorder="1"/>
    <xf numFmtId="0" fontId="39" fillId="0" borderId="0" xfId="49" applyFont="1" applyBorder="1"/>
    <xf numFmtId="0" fontId="44" fillId="17" borderId="3" xfId="49" applyFont="1" applyFill="1" applyBorder="1" applyAlignment="1">
      <alignment horizontal="left"/>
    </xf>
    <xf numFmtId="0" fontId="39" fillId="0" borderId="0" xfId="49" applyFont="1" applyBorder="1" applyAlignment="1">
      <alignment horizontal="right"/>
    </xf>
    <xf numFmtId="165" fontId="39" fillId="0" borderId="0" xfId="49" applyNumberFormat="1" applyFont="1" applyBorder="1"/>
    <xf numFmtId="37" fontId="39" fillId="0" borderId="0" xfId="49" applyNumberFormat="1" applyFont="1" applyBorder="1"/>
    <xf numFmtId="0" fontId="12" fillId="0" borderId="0" xfId="7" applyNumberFormat="1" applyFont="1" applyBorder="1" applyAlignment="1" applyProtection="1"/>
    <xf numFmtId="0" fontId="39" fillId="0" borderId="44" xfId="49" applyFont="1" applyBorder="1"/>
    <xf numFmtId="0" fontId="44" fillId="17" borderId="57" xfId="49" applyFont="1" applyFill="1" applyBorder="1"/>
    <xf numFmtId="0" fontId="44" fillId="17" borderId="58" xfId="49" applyFont="1" applyFill="1" applyBorder="1"/>
    <xf numFmtId="0" fontId="39" fillId="0" borderId="59" xfId="49" applyFont="1" applyBorder="1"/>
    <xf numFmtId="0" fontId="34" fillId="0" borderId="0" xfId="0" applyFont="1" applyFill="1" applyBorder="1" applyAlignment="1" applyProtection="1">
      <alignment vertical="center" wrapText="1"/>
    </xf>
    <xf numFmtId="0" fontId="39" fillId="0" borderId="60" xfId="49" applyFont="1" applyBorder="1"/>
    <xf numFmtId="165" fontId="39" fillId="0" borderId="60" xfId="49" applyNumberFormat="1" applyFont="1" applyBorder="1"/>
    <xf numFmtId="190" fontId="39" fillId="0" borderId="60" xfId="49" applyNumberFormat="1" applyFont="1" applyBorder="1"/>
    <xf numFmtId="164" fontId="39" fillId="0" borderId="60" xfId="49" applyNumberFormat="1" applyFont="1" applyBorder="1"/>
    <xf numFmtId="11" fontId="39" fillId="0" borderId="60" xfId="49" applyNumberFormat="1" applyFont="1" applyBorder="1"/>
    <xf numFmtId="191" fontId="39" fillId="0" borderId="60" xfId="49" applyNumberFormat="1" applyFont="1" applyBorder="1"/>
    <xf numFmtId="0" fontId="39" fillId="0" borderId="60" xfId="49" applyNumberFormat="1" applyFont="1" applyBorder="1"/>
    <xf numFmtId="0" fontId="44" fillId="0" borderId="44" xfId="49" applyFont="1" applyBorder="1"/>
    <xf numFmtId="0" fontId="44" fillId="0" borderId="0" xfId="49" applyFont="1" applyBorder="1"/>
    <xf numFmtId="0" fontId="44" fillId="17" borderId="61" xfId="49" applyFont="1" applyFill="1" applyBorder="1" applyAlignment="1">
      <alignment horizontal="right"/>
    </xf>
    <xf numFmtId="192" fontId="44" fillId="17" borderId="60" xfId="49" applyNumberFormat="1" applyFont="1" applyFill="1" applyBorder="1"/>
    <xf numFmtId="165" fontId="44" fillId="17" borderId="60" xfId="49" applyNumberFormat="1" applyFont="1" applyFill="1" applyBorder="1"/>
    <xf numFmtId="0" fontId="39" fillId="0" borderId="48" xfId="49" applyFont="1" applyBorder="1"/>
    <xf numFmtId="0" fontId="39" fillId="0" borderId="49" xfId="49" applyFont="1" applyBorder="1"/>
    <xf numFmtId="0" fontId="39" fillId="0" borderId="0" xfId="49" applyFont="1"/>
    <xf numFmtId="0" fontId="3" fillId="0" borderId="0" xfId="49"/>
    <xf numFmtId="0" fontId="44" fillId="17" borderId="62" xfId="49" applyFont="1" applyFill="1" applyBorder="1"/>
    <xf numFmtId="0" fontId="44" fillId="17" borderId="2" xfId="49" applyFont="1" applyFill="1" applyBorder="1" applyAlignment="1">
      <alignment horizontal="left"/>
    </xf>
    <xf numFmtId="0" fontId="44" fillId="17" borderId="2" xfId="49" applyFont="1" applyFill="1" applyBorder="1"/>
    <xf numFmtId="0" fontId="44" fillId="17" borderId="63" xfId="49" applyFont="1" applyFill="1" applyBorder="1"/>
    <xf numFmtId="0" fontId="44" fillId="17" borderId="64" xfId="49" applyFont="1" applyFill="1" applyBorder="1"/>
    <xf numFmtId="0" fontId="44" fillId="17" borderId="65" xfId="49" applyFont="1" applyFill="1" applyBorder="1"/>
    <xf numFmtId="0" fontId="44" fillId="17" borderId="66" xfId="49" applyFont="1" applyFill="1" applyBorder="1"/>
    <xf numFmtId="0" fontId="39" fillId="0" borderId="47" xfId="49" applyFont="1" applyBorder="1"/>
    <xf numFmtId="0" fontId="34" fillId="0" borderId="3" xfId="0" applyFont="1" applyFill="1" applyBorder="1" applyAlignment="1" applyProtection="1">
      <alignment vertical="center" wrapText="1"/>
    </xf>
    <xf numFmtId="0" fontId="12" fillId="0" borderId="67" xfId="0" applyFont="1" applyBorder="1" applyAlignment="1"/>
    <xf numFmtId="193" fontId="12" fillId="0" borderId="3" xfId="0" applyNumberFormat="1" applyFont="1" applyBorder="1" applyAlignment="1"/>
    <xf numFmtId="194" fontId="12" fillId="0" borderId="3" xfId="7" applyNumberFormat="1" applyFont="1" applyBorder="1" applyAlignment="1" applyProtection="1"/>
    <xf numFmtId="0" fontId="11" fillId="8" borderId="67" xfId="0" applyFont="1" applyFill="1" applyBorder="1"/>
    <xf numFmtId="0" fontId="39" fillId="0" borderId="61" xfId="49" applyFont="1" applyBorder="1"/>
    <xf numFmtId="0" fontId="39" fillId="0" borderId="60" xfId="49" applyFont="1" applyBorder="1" applyAlignment="1">
      <alignment wrapText="1"/>
    </xf>
    <xf numFmtId="0" fontId="39" fillId="0" borderId="3" xfId="49" applyFont="1" applyBorder="1"/>
    <xf numFmtId="0" fontId="39" fillId="0" borderId="49" xfId="49" applyFont="1" applyBorder="1" applyAlignment="1">
      <alignment horizontal="right"/>
    </xf>
    <xf numFmtId="165" fontId="39" fillId="0" borderId="49" xfId="49" applyNumberFormat="1" applyFont="1" applyBorder="1"/>
    <xf numFmtId="0" fontId="12" fillId="0" borderId="47" xfId="0" applyFont="1" applyBorder="1"/>
    <xf numFmtId="18" fontId="19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2" fillId="0" borderId="3" xfId="0" applyNumberFormat="1" applyFont="1" applyBorder="1" applyAlignment="1"/>
    <xf numFmtId="0" fontId="0" fillId="0" borderId="5" xfId="0" applyBorder="1" applyAlignment="1"/>
    <xf numFmtId="0" fontId="19" fillId="10" borderId="3" xfId="1" applyFont="1" applyFill="1" applyBorder="1" applyAlignment="1">
      <alignment horizontal="left"/>
    </xf>
    <xf numFmtId="0" fontId="12" fillId="0" borderId="3" xfId="0" applyFont="1" applyFill="1" applyBorder="1"/>
    <xf numFmtId="0" fontId="34" fillId="0" borderId="3" xfId="52" applyNumberFormat="1" applyFont="1" applyFill="1" applyBorder="1"/>
    <xf numFmtId="0" fontId="34" fillId="0" borderId="3" xfId="53" applyNumberFormat="1" applyFont="1" applyFill="1" applyBorder="1"/>
    <xf numFmtId="0" fontId="44" fillId="18" borderId="3" xfId="53" applyFont="1" applyFill="1" applyBorder="1"/>
    <xf numFmtId="0" fontId="39" fillId="0" borderId="0" xfId="53" applyFont="1" applyBorder="1"/>
    <xf numFmtId="0" fontId="48" fillId="0" borderId="0" xfId="54" applyBorder="1"/>
    <xf numFmtId="0" fontId="44" fillId="18" borderId="3" xfId="53" applyFont="1" applyFill="1" applyBorder="1" applyAlignment="1">
      <alignment horizontal="left"/>
    </xf>
    <xf numFmtId="0" fontId="39" fillId="0" borderId="0" xfId="53" applyFont="1" applyBorder="1" applyAlignment="1">
      <alignment horizontal="right"/>
    </xf>
    <xf numFmtId="165" fontId="39" fillId="0" borderId="0" xfId="53" applyNumberFormat="1" applyFont="1" applyBorder="1"/>
    <xf numFmtId="37" fontId="39" fillId="0" borderId="0" xfId="53" applyNumberFormat="1" applyFont="1" applyBorder="1"/>
    <xf numFmtId="0" fontId="39" fillId="0" borderId="44" xfId="53" applyFont="1" applyBorder="1"/>
    <xf numFmtId="0" fontId="44" fillId="18" borderId="57" xfId="53" applyFont="1" applyFill="1" applyBorder="1"/>
    <xf numFmtId="0" fontId="44" fillId="18" borderId="58" xfId="53" applyFont="1" applyFill="1" applyBorder="1"/>
    <xf numFmtId="0" fontId="39" fillId="0" borderId="68" xfId="53" applyFont="1" applyBorder="1"/>
    <xf numFmtId="0" fontId="34" fillId="0" borderId="69" xfId="0" applyFont="1" applyFill="1" applyBorder="1" applyAlignment="1" applyProtection="1">
      <alignment vertical="center" wrapText="1"/>
    </xf>
    <xf numFmtId="0" fontId="39" fillId="0" borderId="70" xfId="53" applyFont="1" applyBorder="1"/>
    <xf numFmtId="165" fontId="39" fillId="0" borderId="60" xfId="53" applyNumberFormat="1" applyFont="1" applyBorder="1"/>
    <xf numFmtId="190" fontId="39" fillId="0" borderId="60" xfId="53" applyNumberFormat="1" applyFont="1" applyBorder="1"/>
    <xf numFmtId="0" fontId="39" fillId="0" borderId="60" xfId="53" applyFont="1" applyBorder="1"/>
    <xf numFmtId="164" fontId="39" fillId="0" borderId="60" xfId="53" applyNumberFormat="1" applyFont="1" applyBorder="1"/>
    <xf numFmtId="11" fontId="39" fillId="0" borderId="60" xfId="53" applyNumberFormat="1" applyFont="1" applyBorder="1"/>
    <xf numFmtId="191" fontId="39" fillId="0" borderId="60" xfId="53" applyNumberFormat="1" applyFont="1" applyBorder="1"/>
    <xf numFmtId="0" fontId="39" fillId="0" borderId="60" xfId="53" applyNumberFormat="1" applyFont="1" applyBorder="1"/>
    <xf numFmtId="0" fontId="44" fillId="0" borderId="44" xfId="53" applyFont="1" applyBorder="1"/>
    <xf numFmtId="0" fontId="44" fillId="0" borderId="0" xfId="53" applyFont="1" applyBorder="1"/>
    <xf numFmtId="0" fontId="44" fillId="18" borderId="61" xfId="53" applyFont="1" applyFill="1" applyBorder="1" applyAlignment="1">
      <alignment horizontal="right"/>
    </xf>
    <xf numFmtId="192" fontId="44" fillId="18" borderId="60" xfId="53" applyNumberFormat="1" applyFont="1" applyFill="1" applyBorder="1"/>
    <xf numFmtId="0" fontId="39" fillId="0" borderId="59" xfId="53" applyFont="1" applyBorder="1"/>
    <xf numFmtId="165" fontId="44" fillId="18" borderId="60" xfId="53" applyNumberFormat="1" applyFont="1" applyFill="1" applyBorder="1"/>
    <xf numFmtId="0" fontId="39" fillId="0" borderId="48" xfId="53" applyFont="1" applyBorder="1"/>
    <xf numFmtId="0" fontId="39" fillId="0" borderId="49" xfId="53" applyFont="1" applyBorder="1"/>
    <xf numFmtId="0" fontId="39" fillId="0" borderId="0" xfId="53" applyFont="1"/>
    <xf numFmtId="0" fontId="2" fillId="0" borderId="0" xfId="53"/>
    <xf numFmtId="0" fontId="39" fillId="0" borderId="61" xfId="53" applyFont="1" applyBorder="1"/>
    <xf numFmtId="0" fontId="44" fillId="17" borderId="62" xfId="53" applyFont="1" applyFill="1" applyBorder="1"/>
    <xf numFmtId="0" fontId="44" fillId="17" borderId="2" xfId="53" applyFont="1" applyFill="1" applyBorder="1" applyAlignment="1">
      <alignment horizontal="left"/>
    </xf>
    <xf numFmtId="0" fontId="44" fillId="17" borderId="2" xfId="53" applyFont="1" applyFill="1" applyBorder="1"/>
    <xf numFmtId="0" fontId="44" fillId="17" borderId="63" xfId="53" applyFont="1" applyFill="1" applyBorder="1"/>
    <xf numFmtId="0" fontId="44" fillId="17" borderId="64" xfId="53" applyFont="1" applyFill="1" applyBorder="1"/>
    <xf numFmtId="0" fontId="44" fillId="17" borderId="65" xfId="53" applyFont="1" applyFill="1" applyBorder="1"/>
    <xf numFmtId="0" fontId="44" fillId="17" borderId="66" xfId="53" applyFont="1" applyFill="1" applyBorder="1"/>
    <xf numFmtId="0" fontId="44" fillId="17" borderId="58" xfId="53" applyFont="1" applyFill="1" applyBorder="1"/>
    <xf numFmtId="0" fontId="39" fillId="0" borderId="47" xfId="53" applyFont="1" applyBorder="1"/>
    <xf numFmtId="0" fontId="39" fillId="0" borderId="3" xfId="53" applyFont="1" applyBorder="1"/>
    <xf numFmtId="0" fontId="44" fillId="17" borderId="61" xfId="53" applyFont="1" applyFill="1" applyBorder="1" applyAlignment="1">
      <alignment horizontal="right"/>
    </xf>
    <xf numFmtId="192" fontId="44" fillId="17" borderId="60" xfId="53" applyNumberFormat="1" applyFont="1" applyFill="1" applyBorder="1"/>
    <xf numFmtId="0" fontId="44" fillId="17" borderId="57" xfId="53" applyFont="1" applyFill="1" applyBorder="1"/>
    <xf numFmtId="165" fontId="44" fillId="17" borderId="60" xfId="53" applyNumberFormat="1" applyFont="1" applyFill="1" applyBorder="1"/>
    <xf numFmtId="11" fontId="12" fillId="0" borderId="3" xfId="0" applyNumberFormat="1" applyFont="1" applyBorder="1" applyAlignment="1">
      <alignment wrapText="1"/>
    </xf>
    <xf numFmtId="0" fontId="39" fillId="0" borderId="60" xfId="53" applyFont="1" applyBorder="1" applyAlignment="1">
      <alignment wrapText="1"/>
    </xf>
    <xf numFmtId="37" fontId="12" fillId="0" borderId="3" xfId="0" applyNumberFormat="1" applyFont="1" applyBorder="1" applyAlignment="1">
      <alignment horizontal="right"/>
    </xf>
    <xf numFmtId="0" fontId="12" fillId="0" borderId="3" xfId="0" applyFont="1" applyBorder="1" applyAlignment="1">
      <alignment horizontal="right"/>
    </xf>
    <xf numFmtId="0" fontId="12" fillId="0" borderId="3" xfId="50" applyNumberFormat="1" applyFont="1" applyBorder="1" applyAlignment="1"/>
    <xf numFmtId="169" fontId="12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6" fillId="0" borderId="0" xfId="8" applyFont="1" applyBorder="1"/>
    <xf numFmtId="0" fontId="12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2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2" fillId="0" borderId="51" xfId="0" applyFont="1" applyFill="1" applyBorder="1"/>
    <xf numFmtId="0" fontId="12" fillId="0" borderId="45" xfId="30" applyFont="1" applyFill="1" applyBorder="1" applyAlignment="1">
      <alignment wrapText="1"/>
    </xf>
    <xf numFmtId="0" fontId="12" fillId="0" borderId="16" xfId="0" applyFont="1" applyFill="1" applyBorder="1"/>
    <xf numFmtId="0" fontId="12" fillId="0" borderId="55" xfId="46" applyFont="1" applyFill="1" applyBorder="1"/>
    <xf numFmtId="0" fontId="12" fillId="0" borderId="3" xfId="46" applyNumberFormat="1" applyFont="1" applyFill="1" applyBorder="1"/>
    <xf numFmtId="0" fontId="12" fillId="0" borderId="3" xfId="46" applyFont="1" applyFill="1" applyBorder="1"/>
    <xf numFmtId="0" fontId="12" fillId="0" borderId="53" xfId="30" applyFont="1" applyFill="1" applyBorder="1" applyAlignment="1">
      <alignment wrapText="1"/>
    </xf>
    <xf numFmtId="0" fontId="12" fillId="0" borderId="33" xfId="7" applyNumberFormat="1" applyFont="1" applyBorder="1" applyAlignment="1">
      <alignment wrapText="1"/>
    </xf>
    <xf numFmtId="0" fontId="12" fillId="0" borderId="3" xfId="0" applyNumberFormat="1" applyFont="1" applyFill="1" applyBorder="1"/>
    <xf numFmtId="0" fontId="12" fillId="0" borderId="3" xfId="7" applyNumberFormat="1" applyFont="1" applyBorder="1" applyAlignment="1">
      <alignment wrapText="1"/>
    </xf>
    <xf numFmtId="0" fontId="12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2" fillId="0" borderId="3" xfId="55" applyFont="1" applyFill="1" applyBorder="1"/>
    <xf numFmtId="170" fontId="12" fillId="0" borderId="3" xfId="36" applyFont="1" applyFill="1" applyBorder="1"/>
    <xf numFmtId="0" fontId="12" fillId="0" borderId="3" xfId="55" applyNumberFormat="1" applyFont="1" applyFill="1" applyBorder="1"/>
    <xf numFmtId="0" fontId="12" fillId="0" borderId="16" xfId="7" applyNumberFormat="1" applyFont="1" applyBorder="1" applyAlignment="1">
      <alignment wrapText="1"/>
    </xf>
    <xf numFmtId="0" fontId="12" fillId="0" borderId="16" xfId="42" applyFont="1" applyBorder="1"/>
    <xf numFmtId="0" fontId="13" fillId="0" borderId="3" xfId="42" applyBorder="1"/>
    <xf numFmtId="0" fontId="2" fillId="0" borderId="16" xfId="7" applyNumberFormat="1" applyFont="1" applyBorder="1" applyAlignment="1">
      <alignment wrapText="1"/>
    </xf>
    <xf numFmtId="0" fontId="34" fillId="0" borderId="3" xfId="42" applyFont="1" applyFill="1" applyBorder="1"/>
    <xf numFmtId="0" fontId="0" fillId="0" borderId="3" xfId="42" applyFont="1" applyBorder="1"/>
    <xf numFmtId="0" fontId="54" fillId="0" borderId="0" xfId="0" applyFont="1" applyBorder="1"/>
    <xf numFmtId="195" fontId="34" fillId="0" borderId="3" xfId="41" applyNumberFormat="1" applyFont="1" applyFill="1" applyBorder="1"/>
    <xf numFmtId="11" fontId="34" fillId="0" borderId="3" xfId="41" applyNumberFormat="1" applyFont="1" applyFill="1" applyBorder="1"/>
    <xf numFmtId="43" fontId="34" fillId="0" borderId="3" xfId="41" applyFont="1" applyFill="1" applyBorder="1"/>
    <xf numFmtId="2" fontId="34" fillId="0" borderId="3" xfId="36" applyNumberFormat="1" applyFont="1" applyFill="1" applyBorder="1"/>
    <xf numFmtId="0" fontId="34" fillId="0" borderId="3" xfId="55" applyFont="1" applyFill="1" applyBorder="1"/>
    <xf numFmtId="11" fontId="34" fillId="0" borderId="3" xfId="55" applyNumberFormat="1" applyFont="1" applyFill="1" applyBorder="1"/>
    <xf numFmtId="0" fontId="39" fillId="0" borderId="0" xfId="55" applyFont="1"/>
    <xf numFmtId="0" fontId="2" fillId="0" borderId="0" xfId="55"/>
    <xf numFmtId="165" fontId="44" fillId="17" borderId="60" xfId="55" applyNumberFormat="1" applyFont="1" applyFill="1" applyBorder="1"/>
    <xf numFmtId="0" fontId="44" fillId="17" borderId="61" xfId="55" applyFont="1" applyFill="1" applyBorder="1" applyAlignment="1">
      <alignment horizontal="right"/>
    </xf>
    <xf numFmtId="0" fontId="12" fillId="0" borderId="3" xfId="42" applyFont="1" applyBorder="1"/>
    <xf numFmtId="190" fontId="12" fillId="0" borderId="3" xfId="42" applyNumberFormat="1" applyFont="1" applyBorder="1"/>
    <xf numFmtId="0" fontId="12" fillId="0" borderId="3" xfId="42" applyFont="1" applyBorder="1" applyAlignment="1">
      <alignment wrapText="1"/>
    </xf>
    <xf numFmtId="0" fontId="39" fillId="0" borderId="61" xfId="55" applyFont="1" applyBorder="1"/>
    <xf numFmtId="0" fontId="44" fillId="17" borderId="58" xfId="55" applyFont="1" applyFill="1" applyBorder="1"/>
    <xf numFmtId="192" fontId="44" fillId="17" borderId="60" xfId="55" applyNumberFormat="1" applyFont="1" applyFill="1" applyBorder="1"/>
    <xf numFmtId="165" fontId="39" fillId="0" borderId="60" xfId="55" applyNumberFormat="1" applyFont="1" applyBorder="1"/>
    <xf numFmtId="0" fontId="39" fillId="0" borderId="60" xfId="55" applyNumberFormat="1" applyFont="1" applyBorder="1"/>
    <xf numFmtId="191" fontId="39" fillId="0" borderId="60" xfId="55" applyNumberFormat="1" applyFont="1" applyBorder="1"/>
    <xf numFmtId="11" fontId="39" fillId="0" borderId="60" xfId="55" applyNumberFormat="1" applyFont="1" applyBorder="1"/>
    <xf numFmtId="164" fontId="39" fillId="0" borderId="60" xfId="55" applyNumberFormat="1" applyFont="1" applyBorder="1"/>
    <xf numFmtId="0" fontId="39" fillId="0" borderId="60" xfId="55" applyFont="1" applyBorder="1"/>
    <xf numFmtId="190" fontId="39" fillId="0" borderId="60" xfId="55" applyNumberFormat="1" applyFont="1" applyBorder="1"/>
    <xf numFmtId="0" fontId="39" fillId="0" borderId="70" xfId="55" applyFont="1" applyBorder="1"/>
    <xf numFmtId="0" fontId="44" fillId="17" borderId="64" xfId="55" applyFont="1" applyFill="1" applyBorder="1"/>
    <xf numFmtId="0" fontId="44" fillId="17" borderId="2" xfId="55" applyFont="1" applyFill="1" applyBorder="1"/>
    <xf numFmtId="0" fontId="44" fillId="17" borderId="2" xfId="55" applyFont="1" applyFill="1" applyBorder="1" applyAlignment="1">
      <alignment horizontal="left"/>
    </xf>
    <xf numFmtId="0" fontId="13" fillId="0" borderId="50" xfId="42" applyBorder="1"/>
    <xf numFmtId="0" fontId="13" fillId="0" borderId="49" xfId="42" applyBorder="1"/>
    <xf numFmtId="0" fontId="13" fillId="0" borderId="48" xfId="42" applyBorder="1"/>
    <xf numFmtId="0" fontId="13" fillId="0" borderId="43" xfId="42" applyBorder="1"/>
    <xf numFmtId="0" fontId="13" fillId="0" borderId="44" xfId="42" applyBorder="1"/>
    <xf numFmtId="0" fontId="44" fillId="0" borderId="0" xfId="55" applyFont="1" applyBorder="1"/>
    <xf numFmtId="0" fontId="44" fillId="0" borderId="44" xfId="55" applyFont="1" applyBorder="1"/>
    <xf numFmtId="0" fontId="13" fillId="0" borderId="43" xfId="42" applyFont="1" applyBorder="1"/>
    <xf numFmtId="1" fontId="34" fillId="0" borderId="3" xfId="42" applyNumberFormat="1" applyFont="1" applyFill="1" applyBorder="1"/>
    <xf numFmtId="0" fontId="34" fillId="0" borderId="3" xfId="42" applyFont="1" applyFill="1" applyBorder="1" applyAlignment="1">
      <alignment wrapText="1"/>
    </xf>
    <xf numFmtId="0" fontId="13" fillId="0" borderId="71" xfId="42" applyBorder="1"/>
    <xf numFmtId="0" fontId="13" fillId="0" borderId="3" xfId="42" applyBorder="1" applyAlignment="1">
      <alignment wrapText="1"/>
    </xf>
    <xf numFmtId="0" fontId="13" fillId="0" borderId="43" xfId="42" applyBorder="1" applyAlignment="1">
      <alignment wrapText="1"/>
    </xf>
    <xf numFmtId="0" fontId="34" fillId="0" borderId="71" xfId="42" applyFont="1" applyFill="1" applyBorder="1"/>
    <xf numFmtId="0" fontId="39" fillId="0" borderId="60" xfId="56" applyFont="1" applyBorder="1"/>
    <xf numFmtId="0" fontId="44" fillId="17" borderId="57" xfId="55" applyFont="1" applyFill="1" applyBorder="1"/>
    <xf numFmtId="0" fontId="13" fillId="0" borderId="43" xfId="42" applyBorder="1" applyAlignment="1"/>
    <xf numFmtId="0" fontId="34" fillId="0" borderId="3" xfId="41" applyNumberFormat="1" applyFont="1" applyFill="1" applyBorder="1"/>
    <xf numFmtId="11" fontId="34" fillId="0" borderId="28" xfId="58" applyNumberFormat="1" applyFont="1" applyFill="1" applyBorder="1"/>
    <xf numFmtId="43" fontId="34" fillId="0" borderId="46" xfId="42" applyNumberFormat="1" applyFont="1" applyFill="1" applyBorder="1"/>
    <xf numFmtId="0" fontId="39" fillId="0" borderId="0" xfId="55" applyFont="1" applyBorder="1"/>
    <xf numFmtId="0" fontId="39" fillId="0" borderId="44" xfId="55" applyFont="1" applyBorder="1"/>
    <xf numFmtId="0" fontId="44" fillId="17" borderId="63" xfId="55" applyFont="1" applyFill="1" applyBorder="1"/>
    <xf numFmtId="165" fontId="39" fillId="0" borderId="0" xfId="55" applyNumberFormat="1" applyFont="1" applyBorder="1"/>
    <xf numFmtId="37" fontId="39" fillId="0" borderId="0" xfId="55" applyNumberFormat="1" applyFont="1" applyBorder="1"/>
    <xf numFmtId="0" fontId="39" fillId="0" borderId="0" xfId="55" applyFont="1" applyBorder="1" applyAlignment="1">
      <alignment horizontal="right"/>
    </xf>
    <xf numFmtId="0" fontId="44" fillId="17" borderId="62" xfId="55" applyFont="1" applyFill="1" applyBorder="1"/>
    <xf numFmtId="0" fontId="13" fillId="0" borderId="42" xfId="42" applyBorder="1"/>
    <xf numFmtId="0" fontId="13" fillId="0" borderId="41" xfId="42" applyBorder="1"/>
    <xf numFmtId="0" fontId="13" fillId="13" borderId="41" xfId="42" applyFill="1" applyBorder="1"/>
    <xf numFmtId="0" fontId="13" fillId="0" borderId="40" xfId="42" applyBorder="1"/>
    <xf numFmtId="0" fontId="34" fillId="0" borderId="0" xfId="58" applyFont="1"/>
    <xf numFmtId="0" fontId="0" fillId="0" borderId="0" xfId="0" applyFill="1" applyBorder="1"/>
    <xf numFmtId="0" fontId="34" fillId="0" borderId="0" xfId="58" applyFont="1" applyFill="1" applyBorder="1"/>
    <xf numFmtId="0" fontId="2" fillId="0" borderId="0" xfId="59" applyFill="1" applyBorder="1"/>
    <xf numFmtId="165" fontId="34" fillId="0" borderId="0" xfId="58" applyNumberFormat="1" applyFont="1" applyFill="1" applyBorder="1"/>
    <xf numFmtId="0" fontId="34" fillId="0" borderId="0" xfId="58" applyFont="1" applyFill="1" applyBorder="1" applyAlignment="1">
      <alignment horizontal="right"/>
    </xf>
    <xf numFmtId="0" fontId="55" fillId="0" borderId="0" xfId="58" applyFont="1" applyFill="1" applyBorder="1"/>
    <xf numFmtId="165" fontId="55" fillId="0" borderId="0" xfId="58" applyNumberFormat="1" applyFont="1" applyFill="1" applyBorder="1"/>
    <xf numFmtId="0" fontId="55" fillId="0" borderId="0" xfId="58" applyFont="1" applyFill="1" applyBorder="1" applyAlignment="1">
      <alignment horizontal="right"/>
    </xf>
    <xf numFmtId="165" fontId="34" fillId="0" borderId="0" xfId="29" applyFont="1" applyFill="1" applyBorder="1" applyAlignment="1" applyProtection="1"/>
    <xf numFmtId="0" fontId="34" fillId="0" borderId="0" xfId="58" applyFont="1" applyFill="1" applyBorder="1" applyAlignment="1">
      <alignment wrapText="1"/>
    </xf>
    <xf numFmtId="2" fontId="34" fillId="0" borderId="0" xfId="58" applyNumberFormat="1" applyFont="1" applyFill="1" applyBorder="1"/>
    <xf numFmtId="0" fontId="34" fillId="0" borderId="0" xfId="58" applyNumberFormat="1" applyFont="1" applyFill="1" applyBorder="1"/>
    <xf numFmtId="165" fontId="34" fillId="0" borderId="0" xfId="29" applyNumberFormat="1" applyFont="1" applyFill="1" applyBorder="1" applyAlignment="1" applyProtection="1"/>
    <xf numFmtId="0" fontId="34" fillId="0" borderId="0" xfId="60" applyNumberFormat="1" applyFont="1" applyFill="1" applyBorder="1" applyAlignment="1" applyProtection="1"/>
    <xf numFmtId="191" fontId="34" fillId="0" borderId="0" xfId="60" applyNumberFormat="1" applyFont="1" applyFill="1" applyBorder="1" applyAlignment="1" applyProtection="1"/>
    <xf numFmtId="11" fontId="34" fillId="0" borderId="0" xfId="60" applyNumberFormat="1" applyFont="1" applyFill="1" applyBorder="1" applyAlignment="1" applyProtection="1"/>
    <xf numFmtId="11" fontId="34" fillId="0" borderId="0" xfId="58" applyNumberFormat="1" applyFont="1" applyFill="1" applyBorder="1"/>
    <xf numFmtId="164" fontId="34" fillId="0" borderId="0" xfId="60" applyFont="1" applyFill="1" applyBorder="1" applyAlignment="1" applyProtection="1"/>
    <xf numFmtId="177" fontId="34" fillId="0" borderId="0" xfId="58" applyNumberFormat="1" applyFont="1" applyFill="1" applyBorder="1"/>
    <xf numFmtId="0" fontId="34" fillId="0" borderId="0" xfId="58" applyFont="1" applyFill="1" applyBorder="1" applyAlignment="1">
      <alignment horizontal="left"/>
    </xf>
    <xf numFmtId="0" fontId="23" fillId="0" borderId="0" xfId="58" applyFont="1" applyFill="1" applyBorder="1"/>
    <xf numFmtId="0" fontId="48" fillId="0" borderId="0" xfId="54" applyFill="1" applyBorder="1"/>
    <xf numFmtId="37" fontId="34" fillId="0" borderId="0" xfId="60" applyNumberFormat="1" applyFont="1" applyFill="1" applyBorder="1" applyAlignment="1" applyProtection="1"/>
    <xf numFmtId="0" fontId="39" fillId="0" borderId="0" xfId="59" applyFont="1" applyFill="1" applyBorder="1" applyAlignment="1">
      <alignment horizontal="right"/>
    </xf>
    <xf numFmtId="0" fontId="55" fillId="0" borderId="0" xfId="58" applyFont="1" applyFill="1" applyBorder="1" applyAlignment="1">
      <alignment horizontal="left"/>
    </xf>
    <xf numFmtId="0" fontId="11" fillId="8" borderId="72" xfId="0" applyFont="1" applyFill="1" applyBorder="1"/>
    <xf numFmtId="11" fontId="34" fillId="0" borderId="73" xfId="58" applyNumberFormat="1" applyFont="1" applyFill="1" applyBorder="1"/>
    <xf numFmtId="196" fontId="12" fillId="0" borderId="3" xfId="0" applyNumberFormat="1" applyFont="1" applyBorder="1" applyAlignment="1"/>
    <xf numFmtId="0" fontId="12" fillId="0" borderId="72" xfId="0" applyFont="1" applyBorder="1" applyAlignment="1"/>
    <xf numFmtId="0" fontId="11" fillId="7" borderId="3" xfId="0" applyFont="1" applyFill="1" applyBorder="1"/>
    <xf numFmtId="0" fontId="39" fillId="0" borderId="68" xfId="55" applyFont="1" applyBorder="1"/>
    <xf numFmtId="0" fontId="39" fillId="0" borderId="59" xfId="55" applyFont="1" applyBorder="1"/>
    <xf numFmtId="0" fontId="39" fillId="0" borderId="48" xfId="55" applyFont="1" applyBorder="1"/>
    <xf numFmtId="0" fontId="39" fillId="0" borderId="49" xfId="55" applyFont="1" applyBorder="1"/>
    <xf numFmtId="0" fontId="39" fillId="0" borderId="49" xfId="55" applyFont="1" applyBorder="1" applyAlignment="1">
      <alignment horizontal="right"/>
    </xf>
    <xf numFmtId="165" fontId="39" fillId="0" borderId="49" xfId="55" applyNumberFormat="1" applyFont="1" applyBorder="1"/>
    <xf numFmtId="11" fontId="34" fillId="0" borderId="3" xfId="57" applyNumberFormat="1" applyFont="1" applyFill="1" applyBorder="1"/>
    <xf numFmtId="11" fontId="12" fillId="0" borderId="3" xfId="7" applyNumberFormat="1" applyFont="1" applyBorder="1" applyAlignment="1" applyProtection="1"/>
    <xf numFmtId="0" fontId="12" fillId="0" borderId="72" xfId="0" applyFont="1" applyBorder="1" applyAlignment="1">
      <alignment wrapText="1"/>
    </xf>
    <xf numFmtId="0" fontId="12" fillId="0" borderId="3" xfId="0" applyFont="1" applyBorder="1" applyAlignment="1" applyProtection="1">
      <alignment wrapText="1"/>
    </xf>
    <xf numFmtId="0" fontId="12" fillId="0" borderId="3" xfId="0" applyFont="1" applyBorder="1" applyAlignment="1">
      <alignment wrapText="1"/>
    </xf>
    <xf numFmtId="196" fontId="12" fillId="0" borderId="3" xfId="0" applyNumberFormat="1" applyFont="1" applyBorder="1" applyAlignment="1">
      <alignment wrapText="1"/>
    </xf>
    <xf numFmtId="164" fontId="12" fillId="0" borderId="3" xfId="7" applyNumberFormat="1" applyFont="1" applyBorder="1" applyAlignment="1" applyProtection="1">
      <alignment wrapText="1"/>
    </xf>
    <xf numFmtId="11" fontId="34" fillId="0" borderId="73" xfId="58" applyNumberFormat="1" applyFont="1" applyFill="1" applyBorder="1" applyAlignment="1">
      <alignment wrapText="1"/>
    </xf>
    <xf numFmtId="0" fontId="11" fillId="0" borderId="21" xfId="0" applyFont="1" applyBorder="1" applyAlignment="1">
      <alignment wrapText="1"/>
    </xf>
    <xf numFmtId="0" fontId="11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1" fillId="8" borderId="72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39" fillId="0" borderId="61" xfId="55" applyFont="1" applyBorder="1" applyAlignment="1">
      <alignment wrapText="1"/>
    </xf>
    <xf numFmtId="0" fontId="39" fillId="0" borderId="60" xfId="55" applyFont="1" applyBorder="1" applyAlignment="1">
      <alignment wrapText="1"/>
    </xf>
    <xf numFmtId="165" fontId="39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2" fillId="0" borderId="3" xfId="7" applyNumberFormat="1" applyFont="1" applyBorder="1" applyAlignment="1" applyProtection="1">
      <alignment wrapText="1"/>
    </xf>
    <xf numFmtId="0" fontId="11" fillId="8" borderId="3" xfId="0" applyFont="1" applyFill="1" applyBorder="1" applyAlignment="1">
      <alignment horizontal="right" wrapText="1"/>
    </xf>
    <xf numFmtId="165" fontId="11" fillId="8" borderId="5" xfId="0" applyNumberFormat="1" applyFont="1" applyFill="1" applyBorder="1" applyAlignment="1">
      <alignment wrapText="1"/>
    </xf>
    <xf numFmtId="0" fontId="11" fillId="8" borderId="5" xfId="0" applyFont="1" applyFill="1" applyBorder="1" applyAlignment="1">
      <alignment horizontal="right" wrapText="1"/>
    </xf>
    <xf numFmtId="11" fontId="12" fillId="0" borderId="3" xfId="7" applyNumberFormat="1" applyFont="1" applyBorder="1" applyAlignment="1" applyProtection="1">
      <alignment wrapText="1"/>
    </xf>
    <xf numFmtId="0" fontId="11" fillId="7" borderId="16" xfId="0" applyFont="1" applyFill="1" applyBorder="1" applyAlignment="1"/>
    <xf numFmtId="0" fontId="11" fillId="7" borderId="0" xfId="0" applyFont="1" applyFill="1" applyBorder="1" applyAlignment="1"/>
    <xf numFmtId="37" fontId="12" fillId="0" borderId="16" xfId="0" applyNumberFormat="1" applyFont="1" applyBorder="1"/>
    <xf numFmtId="0" fontId="26" fillId="0" borderId="16" xfId="8" applyBorder="1"/>
    <xf numFmtId="165" fontId="11" fillId="7" borderId="16" xfId="0" applyNumberFormat="1" applyFont="1" applyFill="1" applyBorder="1" applyAlignment="1"/>
    <xf numFmtId="0" fontId="34" fillId="0" borderId="74" xfId="0" applyFont="1" applyFill="1" applyBorder="1"/>
    <xf numFmtId="170" fontId="34" fillId="0" borderId="74" xfId="36" applyFont="1" applyFill="1" applyBorder="1"/>
    <xf numFmtId="0" fontId="34" fillId="0" borderId="3" xfId="0" applyFont="1" applyFill="1" applyBorder="1"/>
    <xf numFmtId="0" fontId="11" fillId="8" borderId="16" xfId="0" applyFont="1" applyFill="1" applyBorder="1" applyAlignment="1"/>
    <xf numFmtId="0" fontId="26" fillId="0" borderId="0" xfId="8" applyFill="1"/>
    <xf numFmtId="0" fontId="11" fillId="8" borderId="2" xfId="0" applyFont="1" applyFill="1" applyBorder="1" applyAlignment="1"/>
    <xf numFmtId="0" fontId="11" fillId="8" borderId="27" xfId="0" applyFont="1" applyFill="1" applyBorder="1" applyAlignment="1"/>
    <xf numFmtId="0" fontId="11" fillId="8" borderId="5" xfId="0" applyFont="1" applyFill="1" applyBorder="1" applyAlignment="1"/>
    <xf numFmtId="0" fontId="11" fillId="8" borderId="3" xfId="0" applyFont="1" applyFill="1" applyBorder="1" applyAlignment="1"/>
    <xf numFmtId="43" fontId="12" fillId="0" borderId="3" xfId="0" applyNumberFormat="1" applyFont="1" applyBorder="1" applyAlignment="1"/>
    <xf numFmtId="177" fontId="12" fillId="0" borderId="3" xfId="7" applyNumberFormat="1" applyFont="1" applyBorder="1" applyAlignment="1" applyProtection="1"/>
    <xf numFmtId="165" fontId="11" fillId="8" borderId="5" xfId="0" applyNumberFormat="1" applyFont="1" applyFill="1" applyBorder="1" applyAlignment="1"/>
    <xf numFmtId="0" fontId="11" fillId="8" borderId="22" xfId="0" applyFont="1" applyFill="1" applyBorder="1" applyAlignment="1"/>
    <xf numFmtId="0" fontId="34" fillId="0" borderId="3" xfId="0" applyFont="1" applyFill="1" applyBorder="1" applyAlignment="1">
      <alignment wrapText="1"/>
    </xf>
    <xf numFmtId="0" fontId="34" fillId="0" borderId="3" xfId="0" applyNumberFormat="1" applyFont="1" applyFill="1" applyBorder="1" applyAlignment="1">
      <alignment wrapText="1"/>
    </xf>
    <xf numFmtId="170" fontId="34" fillId="0" borderId="3" xfId="36" applyFont="1" applyFill="1" applyBorder="1" applyAlignment="1">
      <alignment wrapText="1"/>
    </xf>
    <xf numFmtId="165" fontId="12" fillId="0" borderId="16" xfId="7" applyNumberFormat="1" applyFont="1" applyBorder="1" applyAlignment="1" applyProtection="1">
      <alignment wrapText="1"/>
    </xf>
    <xf numFmtId="0" fontId="34" fillId="0" borderId="3" xfId="42" applyFont="1" applyBorder="1" applyAlignment="1">
      <alignment wrapText="1"/>
    </xf>
    <xf numFmtId="170" fontId="34" fillId="0" borderId="74" xfId="36" applyFont="1" applyFill="1" applyBorder="1" applyAlignment="1">
      <alignment wrapText="1"/>
    </xf>
    <xf numFmtId="172" fontId="34" fillId="0" borderId="3" xfId="0" applyNumberFormat="1" applyFont="1" applyFill="1" applyBorder="1" applyAlignment="1">
      <alignment wrapText="1"/>
    </xf>
    <xf numFmtId="170" fontId="39" fillId="0" borderId="45" xfId="36" applyFont="1" applyBorder="1" applyAlignment="1">
      <alignment wrapText="1"/>
    </xf>
    <xf numFmtId="39" fontId="34" fillId="0" borderId="3" xfId="36" applyNumberFormat="1" applyFont="1" applyFill="1" applyBorder="1" applyAlignment="1">
      <alignment wrapText="1"/>
    </xf>
    <xf numFmtId="37" fontId="34" fillId="0" borderId="3" xfId="36" applyNumberFormat="1" applyFont="1" applyFill="1" applyBorder="1" applyAlignment="1">
      <alignment wrapText="1"/>
    </xf>
    <xf numFmtId="165" fontId="11" fillId="8" borderId="75" xfId="0" applyNumberFormat="1" applyFont="1" applyFill="1" applyBorder="1" applyAlignment="1"/>
    <xf numFmtId="0" fontId="0" fillId="0" borderId="32" xfId="0" applyBorder="1"/>
    <xf numFmtId="0" fontId="11" fillId="8" borderId="51" xfId="0" applyFont="1" applyFill="1" applyBorder="1" applyAlignment="1"/>
    <xf numFmtId="0" fontId="11" fillId="0" borderId="76" xfId="0" applyFont="1" applyBorder="1"/>
    <xf numFmtId="0" fontId="11" fillId="8" borderId="77" xfId="0" applyFont="1" applyFill="1" applyBorder="1" applyAlignment="1"/>
    <xf numFmtId="0" fontId="12" fillId="0" borderId="55" xfId="0" applyFont="1" applyBorder="1" applyAlignment="1"/>
    <xf numFmtId="0" fontId="11" fillId="8" borderId="55" xfId="0" applyFont="1" applyFill="1" applyBorder="1" applyAlignment="1"/>
    <xf numFmtId="0" fontId="34" fillId="0" borderId="55" xfId="0" applyFont="1" applyFill="1" applyBorder="1"/>
    <xf numFmtId="0" fontId="12" fillId="0" borderId="55" xfId="0" applyFont="1" applyBorder="1" applyAlignment="1">
      <alignment wrapText="1"/>
    </xf>
    <xf numFmtId="43" fontId="12" fillId="0" borderId="3" xfId="0" applyNumberFormat="1" applyFont="1" applyBorder="1" applyAlignment="1">
      <alignment wrapText="1"/>
    </xf>
    <xf numFmtId="177" fontId="12" fillId="0" borderId="3" xfId="7" applyNumberFormat="1" applyFont="1" applyBorder="1" applyAlignment="1" applyProtection="1">
      <alignment wrapText="1"/>
    </xf>
    <xf numFmtId="168" fontId="12" fillId="0" borderId="3" xfId="7" applyNumberFormat="1" applyFont="1" applyBorder="1" applyAlignment="1" applyProtection="1">
      <alignment wrapText="1"/>
    </xf>
    <xf numFmtId="0" fontId="34" fillId="0" borderId="55" xfId="0" applyFont="1" applyFill="1" applyBorder="1" applyAlignment="1">
      <alignment wrapText="1"/>
    </xf>
    <xf numFmtId="170" fontId="34" fillId="0" borderId="3" xfId="3" applyFont="1" applyFill="1" applyBorder="1" applyAlignment="1">
      <alignment wrapText="1"/>
    </xf>
    <xf numFmtId="0" fontId="12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1" fillId="7" borderId="51" xfId="0" applyFont="1" applyFill="1" applyBorder="1" applyAlignment="1"/>
    <xf numFmtId="0" fontId="34" fillId="0" borderId="78" xfId="0" applyFont="1" applyFill="1" applyBorder="1"/>
    <xf numFmtId="0" fontId="34" fillId="0" borderId="78" xfId="0" applyFont="1" applyFill="1" applyBorder="1" applyAlignment="1">
      <alignment wrapText="1"/>
    </xf>
    <xf numFmtId="0" fontId="34" fillId="0" borderId="43" xfId="0" applyFont="1" applyFill="1" applyBorder="1"/>
    <xf numFmtId="0" fontId="12" fillId="0" borderId="0" xfId="7" applyNumberFormat="1" applyFont="1" applyBorder="1" applyAlignment="1"/>
    <xf numFmtId="0" fontId="11" fillId="0" borderId="43" xfId="0" applyFont="1" applyBorder="1"/>
    <xf numFmtId="165" fontId="12" fillId="0" borderId="74" xfId="7" applyNumberFormat="1" applyFont="1" applyBorder="1" applyAlignment="1" applyProtection="1"/>
    <xf numFmtId="165" fontId="11" fillId="8" borderId="3" xfId="0" applyNumberFormat="1" applyFont="1" applyFill="1" applyBorder="1" applyAlignment="1"/>
    <xf numFmtId="49" fontId="26" fillId="0" borderId="3" xfId="8" applyNumberFormat="1" applyBorder="1" applyAlignment="1" applyProtection="1"/>
    <xf numFmtId="49" fontId="26" fillId="10" borderId="3" xfId="8" applyNumberFormat="1" applyFill="1" applyBorder="1"/>
    <xf numFmtId="0" fontId="26" fillId="10" borderId="3" xfId="8" applyFill="1" applyBorder="1"/>
    <xf numFmtId="0" fontId="23" fillId="0" borderId="79" xfId="30" applyFont="1" applyFill="1" applyBorder="1" applyAlignment="1">
      <alignment wrapText="1"/>
    </xf>
    <xf numFmtId="39" fontId="34" fillId="0" borderId="3" xfId="36" applyNumberFormat="1" applyFont="1" applyFill="1" applyBorder="1"/>
    <xf numFmtId="37" fontId="34" fillId="0" borderId="3" xfId="36" applyNumberFormat="1" applyFont="1" applyFill="1" applyBorder="1"/>
    <xf numFmtId="0" fontId="11" fillId="8" borderId="72" xfId="0" applyFont="1" applyFill="1" applyBorder="1" applyAlignment="1"/>
    <xf numFmtId="165" fontId="34" fillId="0" borderId="16" xfId="7" applyNumberFormat="1" applyFont="1" applyBorder="1" applyAlignment="1" applyProtection="1">
      <alignment wrapText="1"/>
    </xf>
    <xf numFmtId="0" fontId="34" fillId="0" borderId="79" xfId="30" applyFont="1" applyFill="1" applyBorder="1" applyAlignment="1">
      <alignment wrapText="1"/>
    </xf>
    <xf numFmtId="170" fontId="39" fillId="0" borderId="79" xfId="36" applyFont="1" applyBorder="1" applyAlignment="1">
      <alignment wrapText="1"/>
    </xf>
    <xf numFmtId="165" fontId="12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  <xf numFmtId="0" fontId="34" fillId="0" borderId="3" xfId="62" applyFont="1" applyFill="1" applyBorder="1"/>
    <xf numFmtId="11" fontId="34" fillId="0" borderId="3" xfId="62" applyNumberFormat="1" applyFont="1" applyFill="1" applyBorder="1"/>
    <xf numFmtId="0" fontId="1" fillId="0" borderId="16" xfId="7" applyNumberFormat="1" applyFont="1" applyBorder="1" applyAlignment="1">
      <alignment wrapText="1"/>
    </xf>
    <xf numFmtId="0" fontId="12" fillId="0" borderId="3" xfId="62" applyNumberFormat="1" applyFont="1" applyFill="1" applyBorder="1"/>
    <xf numFmtId="0" fontId="12" fillId="0" borderId="3" xfId="62" applyFont="1" applyFill="1" applyBorder="1"/>
    <xf numFmtId="0" fontId="44" fillId="17" borderId="62" xfId="62" applyFont="1" applyFill="1" applyBorder="1"/>
    <xf numFmtId="0" fontId="39" fillId="0" borderId="0" xfId="62" applyFont="1" applyBorder="1"/>
    <xf numFmtId="0" fontId="44" fillId="17" borderId="2" xfId="62" applyFont="1" applyFill="1" applyBorder="1" applyAlignment="1">
      <alignment horizontal="left"/>
    </xf>
    <xf numFmtId="0" fontId="39" fillId="0" borderId="0" xfId="62" applyFont="1" applyBorder="1" applyAlignment="1">
      <alignment horizontal="right"/>
    </xf>
    <xf numFmtId="0" fontId="44" fillId="17" borderId="2" xfId="62" applyFont="1" applyFill="1" applyBorder="1"/>
    <xf numFmtId="165" fontId="39" fillId="0" borderId="0" xfId="62" applyNumberFormat="1" applyFont="1" applyBorder="1"/>
    <xf numFmtId="0" fontId="44" fillId="17" borderId="63" xfId="62" applyFont="1" applyFill="1" applyBorder="1"/>
    <xf numFmtId="0" fontId="44" fillId="17" borderId="64" xfId="62" applyFont="1" applyFill="1" applyBorder="1"/>
    <xf numFmtId="37" fontId="39" fillId="0" borderId="0" xfId="62" applyNumberFormat="1" applyFont="1" applyBorder="1"/>
    <xf numFmtId="0" fontId="39" fillId="0" borderId="44" xfId="62" applyFont="1" applyBorder="1"/>
    <xf numFmtId="0" fontId="44" fillId="17" borderId="57" xfId="62" applyFont="1" applyFill="1" applyBorder="1"/>
    <xf numFmtId="0" fontId="44" fillId="17" borderId="58" xfId="62" applyFont="1" applyFill="1" applyBorder="1"/>
    <xf numFmtId="0" fontId="39" fillId="0" borderId="68" xfId="62" applyFont="1" applyBorder="1"/>
    <xf numFmtId="0" fontId="39" fillId="0" borderId="70" xfId="62" applyFont="1" applyBorder="1"/>
    <xf numFmtId="165" fontId="39" fillId="0" borderId="60" xfId="62" applyNumberFormat="1" applyFont="1" applyBorder="1"/>
    <xf numFmtId="190" fontId="39" fillId="0" borderId="60" xfId="62" applyNumberFormat="1" applyFont="1" applyBorder="1"/>
    <xf numFmtId="0" fontId="39" fillId="0" borderId="60" xfId="62" applyFont="1" applyBorder="1"/>
    <xf numFmtId="164" fontId="39" fillId="0" borderId="60" xfId="62" applyNumberFormat="1" applyFont="1" applyBorder="1"/>
    <xf numFmtId="11" fontId="39" fillId="0" borderId="60" xfId="62" applyNumberFormat="1" applyFont="1" applyBorder="1"/>
    <xf numFmtId="191" fontId="39" fillId="0" borderId="60" xfId="62" applyNumberFormat="1" applyFont="1" applyBorder="1"/>
    <xf numFmtId="0" fontId="39" fillId="0" borderId="60" xfId="62" applyNumberFormat="1" applyFont="1" applyBorder="1"/>
    <xf numFmtId="0" fontId="44" fillId="0" borderId="44" xfId="62" applyFont="1" applyBorder="1"/>
    <xf numFmtId="0" fontId="44" fillId="0" borderId="0" xfId="62" applyFont="1" applyBorder="1"/>
    <xf numFmtId="0" fontId="44" fillId="17" borderId="61" xfId="62" applyFont="1" applyFill="1" applyBorder="1" applyAlignment="1">
      <alignment horizontal="right"/>
    </xf>
    <xf numFmtId="192" fontId="44" fillId="17" borderId="60" xfId="62" applyNumberFormat="1" applyFont="1" applyFill="1" applyBorder="1"/>
    <xf numFmtId="0" fontId="39" fillId="0" borderId="59" xfId="62" applyFont="1" applyBorder="1"/>
    <xf numFmtId="165" fontId="44" fillId="17" borderId="60" xfId="62" applyNumberFormat="1" applyFont="1" applyFill="1" applyBorder="1"/>
    <xf numFmtId="0" fontId="39" fillId="0" borderId="48" xfId="62" applyFont="1" applyBorder="1"/>
    <xf numFmtId="0" fontId="39" fillId="0" borderId="49" xfId="62" applyFont="1" applyBorder="1"/>
    <xf numFmtId="0" fontId="39" fillId="0" borderId="49" xfId="62" applyFont="1" applyBorder="1" applyAlignment="1">
      <alignment horizontal="right"/>
    </xf>
    <xf numFmtId="165" fontId="39" fillId="0" borderId="49" xfId="62" applyNumberFormat="1" applyFont="1" applyBorder="1"/>
    <xf numFmtId="0" fontId="39" fillId="0" borderId="0" xfId="62" applyFont="1"/>
    <xf numFmtId="0" fontId="1" fillId="0" borderId="0" xfId="62"/>
    <xf numFmtId="0" fontId="34" fillId="0" borderId="80" xfId="42" applyFont="1" applyFill="1" applyBorder="1"/>
    <xf numFmtId="0" fontId="34" fillId="0" borderId="81" xfId="42" applyFont="1" applyFill="1" applyBorder="1" applyAlignment="1" applyProtection="1">
      <alignment wrapText="1"/>
    </xf>
    <xf numFmtId="0" fontId="34" fillId="0" borderId="81" xfId="42" applyFont="1" applyFill="1" applyBorder="1" applyAlignment="1">
      <alignment horizontal="left" wrapText="1"/>
    </xf>
    <xf numFmtId="170" fontId="34" fillId="0" borderId="81" xfId="3" applyFont="1" applyFill="1" applyBorder="1"/>
    <xf numFmtId="43" fontId="34" fillId="0" borderId="81" xfId="42" applyNumberFormat="1" applyFont="1" applyFill="1" applyBorder="1"/>
    <xf numFmtId="0" fontId="34" fillId="0" borderId="81" xfId="42" applyFont="1" applyFill="1" applyBorder="1"/>
    <xf numFmtId="43" fontId="34" fillId="0" borderId="81" xfId="41" applyFont="1" applyFill="1" applyBorder="1"/>
    <xf numFmtId="11" fontId="34" fillId="0" borderId="81" xfId="57" applyNumberFormat="1" applyFont="1" applyFill="1" applyBorder="1"/>
    <xf numFmtId="11" fontId="34" fillId="0" borderId="81" xfId="41" applyNumberFormat="1" applyFont="1" applyFill="1" applyBorder="1"/>
    <xf numFmtId="0" fontId="34" fillId="0" borderId="81" xfId="41" applyNumberFormat="1" applyFont="1" applyFill="1" applyBorder="1"/>
    <xf numFmtId="170" fontId="34" fillId="0" borderId="81" xfId="36" applyNumberFormat="1" applyFont="1" applyFill="1" applyBorder="1"/>
    <xf numFmtId="0" fontId="13" fillId="0" borderId="80" xfId="42" applyBorder="1"/>
    <xf numFmtId="0" fontId="34" fillId="0" borderId="81" xfId="30" applyFont="1" applyFill="1" applyBorder="1" applyAlignment="1">
      <alignment wrapText="1"/>
    </xf>
    <xf numFmtId="0" fontId="13" fillId="0" borderId="81" xfId="42" applyBorder="1" applyAlignment="1">
      <alignment wrapText="1"/>
    </xf>
    <xf numFmtId="0" fontId="13" fillId="0" borderId="81" xfId="42" applyBorder="1"/>
    <xf numFmtId="0" fontId="39" fillId="0" borderId="60" xfId="63" applyFont="1" applyBorder="1"/>
    <xf numFmtId="170" fontId="34" fillId="0" borderId="81" xfId="3" applyNumberFormat="1" applyFont="1" applyFill="1" applyBorder="1" applyAlignment="1"/>
    <xf numFmtId="0" fontId="34" fillId="0" borderId="81" xfId="42" applyFont="1" applyFill="1" applyBorder="1" applyAlignment="1">
      <alignment wrapText="1"/>
    </xf>
    <xf numFmtId="1" fontId="34" fillId="0" borderId="81" xfId="42" applyNumberFormat="1" applyFont="1" applyFill="1" applyBorder="1"/>
    <xf numFmtId="0" fontId="23" fillId="0" borderId="81" xfId="30" applyFont="1" applyFill="1" applyBorder="1" applyAlignment="1">
      <alignment wrapText="1"/>
    </xf>
    <xf numFmtId="0" fontId="11" fillId="8" borderId="81" xfId="0" applyFont="1" applyFill="1" applyBorder="1"/>
    <xf numFmtId="0" fontId="12" fillId="0" borderId="82" xfId="0" applyFont="1" applyBorder="1" applyAlignment="1"/>
    <xf numFmtId="0" fontId="12" fillId="0" borderId="81" xfId="0" applyFont="1" applyBorder="1" applyAlignment="1" applyProtection="1"/>
    <xf numFmtId="0" fontId="12" fillId="0" borderId="81" xfId="0" applyFont="1" applyBorder="1" applyAlignment="1"/>
    <xf numFmtId="165" fontId="12" fillId="0" borderId="81" xfId="7" applyNumberFormat="1" applyFont="1" applyBorder="1" applyAlignment="1" applyProtection="1"/>
    <xf numFmtId="196" fontId="12" fillId="0" borderId="81" xfId="0" applyNumberFormat="1" applyFont="1" applyBorder="1" applyAlignment="1"/>
    <xf numFmtId="164" fontId="12" fillId="0" borderId="81" xfId="7" applyNumberFormat="1" applyFont="1" applyBorder="1" applyAlignment="1" applyProtection="1"/>
    <xf numFmtId="11" fontId="12" fillId="0" borderId="81" xfId="7" applyNumberFormat="1" applyFont="1" applyBorder="1" applyAlignment="1" applyProtection="1"/>
    <xf numFmtId="3" fontId="0" fillId="0" borderId="81" xfId="0" applyNumberFormat="1" applyBorder="1" applyAlignment="1"/>
    <xf numFmtId="2" fontId="12" fillId="0" borderId="81" xfId="7" applyNumberFormat="1" applyFont="1" applyBorder="1" applyAlignment="1" applyProtection="1"/>
    <xf numFmtId="0" fontId="11" fillId="8" borderId="81" xfId="0" applyFont="1" applyFill="1" applyBorder="1" applyAlignment="1">
      <alignment horizontal="right"/>
    </xf>
    <xf numFmtId="0" fontId="11" fillId="8" borderId="82" xfId="0" applyFont="1" applyFill="1" applyBorder="1"/>
    <xf numFmtId="0" fontId="39" fillId="0" borderId="61" xfId="62" applyFont="1" applyBorder="1"/>
    <xf numFmtId="0" fontId="39" fillId="0" borderId="0" xfId="64" applyFont="1" applyFill="1" applyBorder="1" applyAlignment="1">
      <alignment horizontal="right"/>
    </xf>
    <xf numFmtId="0" fontId="1" fillId="0" borderId="0" xfId="64" applyFill="1" applyBorder="1"/>
    <xf numFmtId="0" fontId="12" fillId="0" borderId="82" xfId="0" applyFont="1" applyBorder="1" applyAlignment="1">
      <alignment wrapText="1"/>
    </xf>
    <xf numFmtId="0" fontId="12" fillId="0" borderId="81" xfId="0" applyFont="1" applyBorder="1" applyAlignment="1" applyProtection="1">
      <alignment wrapText="1"/>
    </xf>
    <xf numFmtId="0" fontId="12" fillId="0" borderId="81" xfId="0" applyFont="1" applyBorder="1" applyAlignment="1">
      <alignment wrapText="1"/>
    </xf>
    <xf numFmtId="165" fontId="12" fillId="0" borderId="81" xfId="7" applyNumberFormat="1" applyFont="1" applyBorder="1" applyAlignment="1" applyProtection="1">
      <alignment wrapText="1"/>
    </xf>
    <xf numFmtId="196" fontId="12" fillId="0" borderId="81" xfId="0" applyNumberFormat="1" applyFont="1" applyBorder="1" applyAlignment="1">
      <alignment wrapText="1"/>
    </xf>
    <xf numFmtId="164" fontId="12" fillId="0" borderId="81" xfId="7" applyNumberFormat="1" applyFont="1" applyBorder="1" applyAlignment="1" applyProtection="1">
      <alignment wrapText="1"/>
    </xf>
    <xf numFmtId="11" fontId="34" fillId="0" borderId="28" xfId="58" applyNumberFormat="1" applyFont="1" applyFill="1" applyBorder="1" applyAlignment="1">
      <alignment wrapText="1"/>
    </xf>
    <xf numFmtId="11" fontId="34" fillId="0" borderId="81" xfId="57" applyNumberFormat="1" applyFont="1" applyFill="1" applyBorder="1" applyAlignment="1">
      <alignment wrapText="1"/>
    </xf>
    <xf numFmtId="11" fontId="12" fillId="0" borderId="81" xfId="7" applyNumberFormat="1" applyFont="1" applyBorder="1" applyAlignment="1" applyProtection="1">
      <alignment wrapText="1"/>
    </xf>
    <xf numFmtId="3" fontId="0" fillId="0" borderId="81" xfId="0" applyNumberFormat="1" applyBorder="1" applyAlignment="1">
      <alignment wrapText="1"/>
    </xf>
    <xf numFmtId="2" fontId="12" fillId="0" borderId="81" xfId="7" applyNumberFormat="1" applyFont="1" applyBorder="1" applyAlignment="1" applyProtection="1">
      <alignment wrapText="1"/>
    </xf>
    <xf numFmtId="0" fontId="39" fillId="0" borderId="61" xfId="62" applyFont="1" applyBorder="1" applyAlignment="1">
      <alignment wrapText="1"/>
    </xf>
    <xf numFmtId="0" fontId="39" fillId="0" borderId="60" xfId="62" applyFont="1" applyBorder="1" applyAlignment="1">
      <alignment wrapText="1"/>
    </xf>
    <xf numFmtId="165" fontId="39" fillId="0" borderId="60" xfId="62" applyNumberFormat="1" applyFont="1" applyBorder="1" applyAlignment="1">
      <alignment wrapText="1"/>
    </xf>
    <xf numFmtId="0" fontId="19" fillId="9" borderId="81" xfId="1" applyFont="1" applyFill="1" applyBorder="1" applyProtection="1">
      <protection locked="0"/>
    </xf>
    <xf numFmtId="18" fontId="19" fillId="9" borderId="81" xfId="1" applyNumberFormat="1" applyFont="1" applyFill="1" applyBorder="1" applyAlignment="1" applyProtection="1">
      <protection locked="0"/>
    </xf>
    <xf numFmtId="0" fontId="26" fillId="9" borderId="81" xfId="8" applyFill="1" applyBorder="1" applyAlignment="1">
      <alignment horizontal="left"/>
    </xf>
    <xf numFmtId="172" fontId="19" fillId="9" borderId="81" xfId="5" applyNumberFormat="1" applyFont="1" applyFill="1" applyBorder="1" applyProtection="1">
      <protection locked="0"/>
    </xf>
    <xf numFmtId="37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>
      <alignment horizontal="right"/>
    </xf>
    <xf numFmtId="0" fontId="19" fillId="9" borderId="81" xfId="1" applyFont="1" applyFill="1" applyBorder="1" applyAlignment="1">
      <alignment horizontal="center"/>
    </xf>
    <xf numFmtId="0" fontId="19" fillId="10" borderId="81" xfId="1" applyFont="1" applyFill="1" applyBorder="1" applyProtection="1">
      <protection locked="0"/>
    </xf>
    <xf numFmtId="18" fontId="19" fillId="10" borderId="81" xfId="1" applyNumberFormat="1" applyFont="1" applyFill="1" applyBorder="1" applyAlignment="1" applyProtection="1">
      <protection locked="0"/>
    </xf>
    <xf numFmtId="172" fontId="19" fillId="10" borderId="81" xfId="5" applyNumberFormat="1" applyFont="1" applyFill="1" applyBorder="1" applyProtection="1">
      <protection locked="0"/>
    </xf>
    <xf numFmtId="37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>
      <alignment horizontal="right"/>
    </xf>
    <xf numFmtId="0" fontId="19" fillId="10" borderId="81" xfId="1" applyFont="1" applyFill="1" applyBorder="1" applyAlignment="1">
      <alignment horizontal="center"/>
    </xf>
    <xf numFmtId="0" fontId="19" fillId="10" borderId="81" xfId="1" applyFont="1" applyFill="1" applyBorder="1" applyAlignment="1" applyProtection="1">
      <alignment horizontal="center"/>
      <protection locked="0"/>
    </xf>
    <xf numFmtId="0" fontId="19" fillId="10" borderId="37" xfId="1" applyFont="1" applyFill="1" applyBorder="1" applyProtection="1">
      <protection locked="0"/>
    </xf>
    <xf numFmtId="0" fontId="12" fillId="0" borderId="81" xfId="0" applyFont="1" applyBorder="1"/>
    <xf numFmtId="37" fontId="12" fillId="0" borderId="81" xfId="0" applyNumberFormat="1" applyFont="1" applyBorder="1"/>
    <xf numFmtId="49" fontId="26" fillId="0" borderId="81" xfId="8" applyNumberFormat="1" applyBorder="1" applyAlignment="1" applyProtection="1"/>
    <xf numFmtId="0" fontId="34" fillId="0" borderId="81" xfId="62" applyFont="1" applyFill="1" applyBorder="1"/>
    <xf numFmtId="170" fontId="34" fillId="0" borderId="81" xfId="36" applyFont="1" applyFill="1" applyBorder="1"/>
    <xf numFmtId="11" fontId="34" fillId="0" borderId="81" xfId="62" applyNumberFormat="1" applyFont="1" applyFill="1" applyBorder="1"/>
    <xf numFmtId="195" fontId="34" fillId="0" borderId="81" xfId="41" applyNumberFormat="1" applyFont="1" applyFill="1" applyBorder="1"/>
    <xf numFmtId="2" fontId="34" fillId="0" borderId="81" xfId="36" applyNumberFormat="1" applyFont="1" applyFill="1" applyBorder="1"/>
    <xf numFmtId="0" fontId="12" fillId="0" borderId="81" xfId="30" applyFont="1" applyFill="1" applyBorder="1" applyAlignment="1">
      <alignment wrapText="1"/>
    </xf>
    <xf numFmtId="0" fontId="12" fillId="0" borderId="81" xfId="62" applyNumberFormat="1" applyFont="1" applyFill="1" applyBorder="1"/>
    <xf numFmtId="170" fontId="12" fillId="0" borderId="81" xfId="36" applyFont="1" applyFill="1" applyBorder="1"/>
    <xf numFmtId="0" fontId="12" fillId="0" borderId="81" xfId="62" applyFont="1" applyFill="1" applyBorder="1"/>
    <xf numFmtId="0" fontId="44" fillId="17" borderId="65" xfId="62" applyFont="1" applyFill="1" applyBorder="1"/>
    <xf numFmtId="0" fontId="44" fillId="17" borderId="66" xfId="62" applyFont="1" applyFill="1" applyBorder="1"/>
    <xf numFmtId="0" fontId="39" fillId="0" borderId="80" xfId="62" applyFont="1" applyBorder="1"/>
    <xf numFmtId="0" fontId="39" fillId="0" borderId="81" xfId="62" applyFont="1" applyBorder="1"/>
    <xf numFmtId="165" fontId="39" fillId="0" borderId="81" xfId="62" applyNumberFormat="1" applyFont="1" applyBorder="1"/>
    <xf numFmtId="44" fontId="39" fillId="0" borderId="81" xfId="61" applyFont="1" applyBorder="1"/>
    <xf numFmtId="0" fontId="34" fillId="0" borderId="81" xfId="0" applyFont="1" applyBorder="1"/>
    <xf numFmtId="49" fontId="26" fillId="10" borderId="0" xfId="8" applyNumberFormat="1" applyFill="1"/>
  </cellXfs>
  <cellStyles count="65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" xfId="61" builtinId="4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2 3" xfId="62"/>
    <cellStyle name="Normal 2 2 4 3" xfId="49"/>
    <cellStyle name="Normal 2 2 4 3 2" xfId="56"/>
    <cellStyle name="Normal 2 2 4 3 3" xfId="63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 7 4" xfId="64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50" Type="http://schemas.openxmlformats.org/officeDocument/2006/relationships/calcChain" Target="calcChain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251772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525309</xdr:colOff>
      <xdr:row>13</xdr:row>
      <xdr:rowOff>118595</xdr:rowOff>
    </xdr:from>
    <xdr:to>
      <xdr:col>13</xdr:col>
      <xdr:colOff>118917</xdr:colOff>
      <xdr:row>26</xdr:row>
      <xdr:rowOff>159027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8074" y="2530491"/>
          <a:ext cx="2085017" cy="406246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482546</xdr:colOff>
      <xdr:row>12</xdr:row>
      <xdr:rowOff>66579</xdr:rowOff>
    </xdr:from>
    <xdr:to>
      <xdr:col>11</xdr:col>
      <xdr:colOff>554828</xdr:colOff>
      <xdr:row>17</xdr:row>
      <xdr:rowOff>64477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0284" y="2247071"/>
          <a:ext cx="1326651" cy="1088144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321733</xdr:colOff>
      <xdr:row>17</xdr:row>
      <xdr:rowOff>139181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751114</xdr:colOff>
      <xdr:row>11</xdr:row>
      <xdr:rowOff>65316</xdr:rowOff>
    </xdr:from>
    <xdr:to>
      <xdr:col>11</xdr:col>
      <xdr:colOff>370114</xdr:colOff>
      <xdr:row>16</xdr:row>
      <xdr:rowOff>83458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13804174" y="2084616"/>
          <a:ext cx="1341120" cy="9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515983</xdr:colOff>
      <xdr:row>12</xdr:row>
      <xdr:rowOff>145869</xdr:rowOff>
    </xdr:from>
    <xdr:to>
      <xdr:col>12</xdr:col>
      <xdr:colOff>264768</xdr:colOff>
      <xdr:row>19</xdr:row>
      <xdr:rowOff>119743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4723" y="2363289"/>
          <a:ext cx="2255765" cy="128451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</xdr:colOff>
      <xdr:row>1</xdr:row>
      <xdr:rowOff>91440</xdr:rowOff>
    </xdr:from>
    <xdr:to>
      <xdr:col>9</xdr:col>
      <xdr:colOff>551717</xdr:colOff>
      <xdr:row>31</xdr:row>
      <xdr:rowOff>15240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" y="274320"/>
          <a:ext cx="7630697" cy="54102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587828</xdr:colOff>
      <xdr:row>11</xdr:row>
      <xdr:rowOff>97970</xdr:rowOff>
    </xdr:from>
    <xdr:to>
      <xdr:col>11</xdr:col>
      <xdr:colOff>108857</xdr:colOff>
      <xdr:row>17</xdr:row>
      <xdr:rowOff>150635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88388" y="2109650"/>
          <a:ext cx="1105989" cy="114994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</xdr:row>
      <xdr:rowOff>68580</xdr:rowOff>
    </xdr:from>
    <xdr:to>
      <xdr:col>8</xdr:col>
      <xdr:colOff>530068</xdr:colOff>
      <xdr:row>27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780" y="251460"/>
          <a:ext cx="6725128" cy="47625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732608</xdr:colOff>
      <xdr:row>11</xdr:row>
      <xdr:rowOff>136070</xdr:rowOff>
    </xdr:from>
    <xdr:to>
      <xdr:col>11</xdr:col>
      <xdr:colOff>312420</xdr:colOff>
      <xdr:row>17</xdr:row>
      <xdr:rowOff>66974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4628" y="2330630"/>
          <a:ext cx="1164772" cy="121106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45720</xdr:rowOff>
    </xdr:from>
    <xdr:to>
      <xdr:col>9</xdr:col>
      <xdr:colOff>150685</xdr:colOff>
      <xdr:row>29</xdr:row>
      <xdr:rowOff>22860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1" y="228600"/>
          <a:ext cx="7206804" cy="509778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213359</xdr:colOff>
      <xdr:row>11</xdr:row>
      <xdr:rowOff>111034</xdr:rowOff>
    </xdr:from>
    <xdr:to>
      <xdr:col>11</xdr:col>
      <xdr:colOff>651856</xdr:colOff>
      <xdr:row>19</xdr:row>
      <xdr:rowOff>130628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50239" y="2130334"/>
          <a:ext cx="2160617" cy="1482634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1</xdr:row>
      <xdr:rowOff>99061</xdr:rowOff>
    </xdr:from>
    <xdr:to>
      <xdr:col>9</xdr:col>
      <xdr:colOff>706603</xdr:colOff>
      <xdr:row>31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1872343</xdr:colOff>
      <xdr:row>1</xdr:row>
      <xdr:rowOff>54429</xdr:rowOff>
    </xdr:from>
    <xdr:to>
      <xdr:col>6</xdr:col>
      <xdr:colOff>2873829</xdr:colOff>
      <xdr:row>6</xdr:row>
      <xdr:rowOff>178130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93383" y="237309"/>
          <a:ext cx="1001486" cy="1038101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45720</xdr:rowOff>
    </xdr:from>
    <xdr:to>
      <xdr:col>9</xdr:col>
      <xdr:colOff>637554</xdr:colOff>
      <xdr:row>30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SU_A130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 refreshError="1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4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view="pageLayout" topLeftCell="A28" zoomScaleNormal="100" workbookViewId="0">
      <selection activeCell="E32" sqref="E32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9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1"/>
      <c r="B1" s="342"/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3"/>
    </row>
    <row r="2" spans="1:17" x14ac:dyDescent="0.3">
      <c r="A2" s="344" t="s">
        <v>0</v>
      </c>
      <c r="B2" s="345" t="s">
        <v>37</v>
      </c>
      <c r="C2" s="346"/>
      <c r="D2" s="346"/>
      <c r="E2" s="346"/>
      <c r="F2" s="346"/>
      <c r="G2" s="347" t="s">
        <v>126</v>
      </c>
      <c r="H2" s="346"/>
      <c r="I2" s="346"/>
      <c r="J2" s="348" t="s">
        <v>1</v>
      </c>
      <c r="K2" s="349">
        <v>81</v>
      </c>
      <c r="L2" s="346"/>
      <c r="M2" s="344" t="s">
        <v>16</v>
      </c>
      <c r="N2" s="350">
        <f>N12+I18</f>
        <v>1.0750440160000001</v>
      </c>
      <c r="O2" s="351"/>
    </row>
    <row r="3" spans="1:17" x14ac:dyDescent="0.3">
      <c r="A3" s="344" t="s">
        <v>3</v>
      </c>
      <c r="B3" s="345" t="str">
        <f>'SU A0100'!B3</f>
        <v>Suspension &amp; Shocks</v>
      </c>
      <c r="C3" s="346"/>
      <c r="D3" s="344" t="s">
        <v>6</v>
      </c>
      <c r="E3" s="388" t="s">
        <v>86</v>
      </c>
      <c r="F3" s="346"/>
      <c r="G3" s="346"/>
      <c r="H3" s="346"/>
      <c r="I3" s="346"/>
      <c r="J3" s="346"/>
      <c r="K3" s="346"/>
      <c r="L3" s="346"/>
      <c r="M3" s="344" t="s">
        <v>4</v>
      </c>
      <c r="N3" s="353">
        <v>2</v>
      </c>
      <c r="O3" s="351"/>
    </row>
    <row r="4" spans="1:17" x14ac:dyDescent="0.3">
      <c r="A4" s="344" t="s">
        <v>5</v>
      </c>
      <c r="B4" s="347" t="str">
        <f>'SU A0100'!B4</f>
        <v>Upper Front A-arm</v>
      </c>
      <c r="C4" s="346"/>
      <c r="D4" s="344" t="s">
        <v>8</v>
      </c>
      <c r="E4" s="346"/>
      <c r="F4" s="346"/>
      <c r="G4" s="346"/>
      <c r="H4" s="346"/>
      <c r="I4" s="346"/>
      <c r="J4" s="354" t="s">
        <v>6</v>
      </c>
      <c r="K4" s="346"/>
      <c r="L4" s="346"/>
      <c r="M4" s="346"/>
      <c r="N4" s="346"/>
      <c r="O4" s="351"/>
    </row>
    <row r="5" spans="1:17" x14ac:dyDescent="0.3">
      <c r="A5" s="344" t="s">
        <v>15</v>
      </c>
      <c r="B5" s="389" t="s">
        <v>193</v>
      </c>
      <c r="C5" s="346"/>
      <c r="D5" s="344" t="s">
        <v>12</v>
      </c>
      <c r="E5" s="346"/>
      <c r="F5" s="346"/>
      <c r="G5" s="346"/>
      <c r="H5" s="346"/>
      <c r="I5" s="346"/>
      <c r="J5" s="354" t="s">
        <v>8</v>
      </c>
      <c r="K5" s="346"/>
      <c r="L5" s="346"/>
      <c r="M5" s="344" t="s">
        <v>9</v>
      </c>
      <c r="N5" s="350">
        <f>N3*N2</f>
        <v>2.1500880320000002</v>
      </c>
      <c r="O5" s="351"/>
    </row>
    <row r="6" spans="1:17" x14ac:dyDescent="0.3">
      <c r="A6" s="344" t="s">
        <v>7</v>
      </c>
      <c r="B6" s="356" t="s">
        <v>172</v>
      </c>
      <c r="C6" s="346"/>
      <c r="D6" s="346"/>
      <c r="E6" s="346"/>
      <c r="F6" s="346"/>
      <c r="G6" s="346"/>
      <c r="H6" s="346"/>
      <c r="I6" s="346"/>
      <c r="J6" s="354" t="s">
        <v>12</v>
      </c>
      <c r="K6" s="346"/>
      <c r="L6" s="346"/>
      <c r="M6" s="346"/>
      <c r="N6" s="346"/>
      <c r="O6" s="351"/>
    </row>
    <row r="7" spans="1:17" x14ac:dyDescent="0.3">
      <c r="A7" s="344" t="s">
        <v>10</v>
      </c>
      <c r="B7" s="345" t="s">
        <v>11</v>
      </c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51"/>
    </row>
    <row r="8" spans="1:17" x14ac:dyDescent="0.3">
      <c r="A8" s="344" t="s">
        <v>13</v>
      </c>
      <c r="B8" s="345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51"/>
    </row>
    <row r="9" spans="1:17" x14ac:dyDescent="0.3">
      <c r="A9" s="357"/>
      <c r="B9" s="358"/>
      <c r="C9" s="358"/>
      <c r="D9" s="358"/>
      <c r="E9" s="358"/>
      <c r="F9" s="346"/>
      <c r="G9" s="346"/>
      <c r="H9" s="346"/>
      <c r="I9" s="346"/>
      <c r="J9" s="346"/>
      <c r="K9" s="346"/>
      <c r="L9" s="346"/>
      <c r="M9" s="346"/>
      <c r="N9" s="346"/>
      <c r="O9" s="351"/>
    </row>
    <row r="10" spans="1:17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7" x14ac:dyDescent="0.3">
      <c r="A11" s="362">
        <v>10</v>
      </c>
      <c r="B11" s="390" t="s">
        <v>166</v>
      </c>
      <c r="C11" s="366" t="s">
        <v>38</v>
      </c>
      <c r="D11" s="373">
        <v>2.25</v>
      </c>
      <c r="E11" s="368">
        <f>J11*K11*L11</f>
        <v>1.7352896E-2</v>
      </c>
      <c r="F11" s="366" t="s">
        <v>162</v>
      </c>
      <c r="G11" s="366"/>
      <c r="H11" s="367"/>
      <c r="I11" s="368" t="s">
        <v>165</v>
      </c>
      <c r="J11" s="369">
        <f>3.14*8*8/1000000</f>
        <v>2.0096E-4</v>
      </c>
      <c r="K11" s="369">
        <v>1.0999999999999999E-2</v>
      </c>
      <c r="L11" s="371">
        <v>7850</v>
      </c>
      <c r="M11" s="372">
        <v>1</v>
      </c>
      <c r="N11" s="373">
        <f>D11*E11*M11</f>
        <v>3.9044016000000001E-2</v>
      </c>
      <c r="O11" s="374"/>
      <c r="Q11" s="135"/>
    </row>
    <row r="12" spans="1:17" x14ac:dyDescent="0.3">
      <c r="A12" s="375"/>
      <c r="B12" s="376"/>
      <c r="C12" s="376"/>
      <c r="D12" s="376"/>
      <c r="E12" s="376"/>
      <c r="F12" s="376"/>
      <c r="G12" s="376"/>
      <c r="H12" s="376"/>
      <c r="I12" s="376"/>
      <c r="J12" s="376"/>
      <c r="K12" s="376"/>
      <c r="L12" s="376"/>
      <c r="M12" s="377" t="s">
        <v>18</v>
      </c>
      <c r="N12" s="378">
        <f>SUM(N11:N11)</f>
        <v>3.9044016000000001E-2</v>
      </c>
      <c r="O12" s="351"/>
    </row>
    <row r="13" spans="1:17" x14ac:dyDescent="0.3">
      <c r="A13" s="379"/>
      <c r="B13" s="346"/>
      <c r="C13" s="346"/>
      <c r="D13" s="346"/>
      <c r="E13" s="346"/>
      <c r="F13" s="346"/>
      <c r="G13" s="346"/>
      <c r="H13" s="346"/>
      <c r="I13" s="346"/>
      <c r="J13" s="346"/>
      <c r="K13" s="346"/>
      <c r="L13" s="346"/>
      <c r="M13" s="346"/>
      <c r="N13" s="346"/>
      <c r="O13" s="351"/>
    </row>
    <row r="14" spans="1:17" x14ac:dyDescent="0.3">
      <c r="A14" s="380" t="s">
        <v>14</v>
      </c>
      <c r="B14" s="361" t="s">
        <v>31</v>
      </c>
      <c r="C14" s="361" t="s">
        <v>20</v>
      </c>
      <c r="D14" s="361" t="s">
        <v>21</v>
      </c>
      <c r="E14" s="361" t="s">
        <v>32</v>
      </c>
      <c r="F14" s="361" t="s">
        <v>17</v>
      </c>
      <c r="G14" s="361" t="s">
        <v>33</v>
      </c>
      <c r="H14" s="361" t="s">
        <v>34</v>
      </c>
      <c r="I14" s="361" t="s">
        <v>18</v>
      </c>
      <c r="J14" s="376"/>
      <c r="K14" s="376"/>
      <c r="L14" s="376"/>
      <c r="M14" s="376"/>
      <c r="N14" s="376"/>
      <c r="O14" s="351"/>
    </row>
    <row r="15" spans="1:17" ht="28.8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7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0.3</v>
      </c>
      <c r="G16" s="391" t="s">
        <v>268</v>
      </c>
      <c r="H16" s="391">
        <v>3</v>
      </c>
      <c r="I16" s="340">
        <f>IF(H16="",D16*F16,D16*F16*H16)</f>
        <v>3.6000000000000004E-2</v>
      </c>
      <c r="J16" s="346"/>
      <c r="K16" s="346"/>
      <c r="L16" s="346"/>
      <c r="M16" s="346"/>
      <c r="N16" s="346"/>
      <c r="O16" s="351"/>
    </row>
    <row r="17" spans="1:15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5" x14ac:dyDescent="0.3">
      <c r="A18" s="375"/>
      <c r="B18" s="376"/>
      <c r="C18" s="376"/>
      <c r="D18" s="376"/>
      <c r="E18" s="376"/>
      <c r="F18" s="376"/>
      <c r="G18" s="376"/>
      <c r="H18" s="384" t="s">
        <v>18</v>
      </c>
      <c r="I18" s="378">
        <f>SUM(I15:I17)</f>
        <v>1.036</v>
      </c>
      <c r="J18" s="376"/>
      <c r="K18" s="376"/>
      <c r="L18" s="376"/>
      <c r="M18" s="376"/>
      <c r="N18" s="376"/>
      <c r="O18" s="351"/>
    </row>
    <row r="19" spans="1:15" ht="15" thickBot="1" x14ac:dyDescent="0.35">
      <c r="A19" s="385"/>
      <c r="B19" s="386"/>
      <c r="C19" s="386"/>
      <c r="D19" s="386"/>
      <c r="E19" s="386"/>
      <c r="F19" s="386"/>
      <c r="G19" s="386"/>
      <c r="H19" s="386"/>
      <c r="I19" s="386"/>
      <c r="J19" s="386"/>
      <c r="K19" s="386"/>
      <c r="L19" s="386"/>
      <c r="M19" s="386"/>
      <c r="N19" s="386"/>
      <c r="O19" s="387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62" fitToHeight="99" orientation="landscape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0"/>
  <sheetViews>
    <sheetView view="pageLayout" zoomScale="70" zoomScaleNormal="80" zoomScalePageLayoutView="70" workbookViewId="0">
      <selection activeCell="E32" sqref="E32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796" t="s">
        <v>0</v>
      </c>
      <c r="B2" s="16" t="s">
        <v>37</v>
      </c>
      <c r="C2" s="797"/>
      <c r="D2" s="797"/>
      <c r="E2" s="797"/>
      <c r="F2" s="798" t="s">
        <v>126</v>
      </c>
      <c r="G2" s="797"/>
      <c r="H2" s="797"/>
      <c r="I2" s="797"/>
      <c r="J2" s="799" t="s">
        <v>1</v>
      </c>
      <c r="K2" s="800">
        <v>81</v>
      </c>
      <c r="L2" s="797"/>
      <c r="M2" s="796" t="s">
        <v>16</v>
      </c>
      <c r="N2" s="801">
        <f>SU_08001_m+SU_08001_p</f>
        <v>1.3710986506763019</v>
      </c>
      <c r="O2" s="270"/>
    </row>
    <row r="3" spans="1:15" x14ac:dyDescent="0.3">
      <c r="A3" s="796" t="s">
        <v>3</v>
      </c>
      <c r="B3" s="16" t="str">
        <f>'SU A0800'!B3</f>
        <v>Suspension &amp; Shocks</v>
      </c>
      <c r="C3" s="797"/>
      <c r="D3" s="796" t="s">
        <v>6</v>
      </c>
      <c r="E3" s="797"/>
      <c r="F3" s="797"/>
      <c r="G3" s="797"/>
      <c r="H3" s="797"/>
      <c r="I3" s="797"/>
      <c r="J3" s="797"/>
      <c r="K3" s="797"/>
      <c r="L3" s="797"/>
      <c r="M3" s="796" t="s">
        <v>4</v>
      </c>
      <c r="N3" s="802">
        <v>2</v>
      </c>
      <c r="O3" s="270"/>
    </row>
    <row r="4" spans="1:15" x14ac:dyDescent="0.3">
      <c r="A4" s="796" t="s">
        <v>5</v>
      </c>
      <c r="B4" s="88" t="str">
        <f>'SU A0800'!B4</f>
        <v>Rear Bell Crank</v>
      </c>
      <c r="C4" s="797"/>
      <c r="D4" s="796" t="s">
        <v>8</v>
      </c>
      <c r="E4" s="797"/>
      <c r="F4" s="797"/>
      <c r="G4" s="797"/>
      <c r="H4" s="797"/>
      <c r="I4" s="797"/>
      <c r="J4" s="796" t="s">
        <v>6</v>
      </c>
      <c r="K4" s="797"/>
      <c r="L4" s="797"/>
      <c r="M4" s="797"/>
      <c r="N4" s="797"/>
      <c r="O4" s="270"/>
    </row>
    <row r="5" spans="1:15" x14ac:dyDescent="0.3">
      <c r="A5" s="796" t="s">
        <v>15</v>
      </c>
      <c r="B5" s="747" t="s">
        <v>385</v>
      </c>
      <c r="C5" s="797"/>
      <c r="D5" s="796" t="s">
        <v>12</v>
      </c>
      <c r="E5" s="797"/>
      <c r="F5" s="797"/>
      <c r="G5" s="797"/>
      <c r="H5" s="797"/>
      <c r="I5" s="797"/>
      <c r="J5" s="796" t="s">
        <v>8</v>
      </c>
      <c r="K5" s="797"/>
      <c r="L5" s="797"/>
      <c r="M5" s="796" t="s">
        <v>9</v>
      </c>
      <c r="N5" s="801">
        <f>N2*SU_08001_q</f>
        <v>2.7421973013526038</v>
      </c>
      <c r="O5" s="270"/>
    </row>
    <row r="6" spans="1:15" x14ac:dyDescent="0.3">
      <c r="A6" s="796" t="s">
        <v>7</v>
      </c>
      <c r="B6" t="s">
        <v>447</v>
      </c>
      <c r="C6" s="797"/>
      <c r="D6" s="797"/>
      <c r="E6" s="797"/>
      <c r="F6" s="797"/>
      <c r="G6" s="797"/>
      <c r="H6" s="797"/>
      <c r="I6" s="797"/>
      <c r="J6" s="796" t="s">
        <v>12</v>
      </c>
      <c r="K6" s="797"/>
      <c r="L6" s="797"/>
      <c r="M6" s="797"/>
      <c r="N6" s="797"/>
      <c r="O6" s="270"/>
    </row>
    <row r="7" spans="1:15" x14ac:dyDescent="0.3">
      <c r="A7" s="796" t="s">
        <v>10</v>
      </c>
      <c r="B7" s="797" t="s">
        <v>11</v>
      </c>
      <c r="C7" s="797"/>
      <c r="D7" s="797"/>
      <c r="E7" s="797"/>
      <c r="F7" s="797"/>
      <c r="G7" s="797"/>
      <c r="H7" s="797"/>
      <c r="I7" s="797"/>
      <c r="J7" s="797"/>
      <c r="K7" s="797"/>
      <c r="L7" s="797"/>
      <c r="M7" s="797"/>
      <c r="N7" s="797"/>
      <c r="O7" s="270"/>
    </row>
    <row r="8" spans="1:15" x14ac:dyDescent="0.3">
      <c r="A8" s="796" t="s">
        <v>13</v>
      </c>
      <c r="B8" s="16"/>
      <c r="C8" s="797"/>
      <c r="D8" s="797"/>
      <c r="E8" s="797"/>
      <c r="F8" s="797"/>
      <c r="G8" s="797"/>
      <c r="H8" s="797"/>
      <c r="I8" s="797"/>
      <c r="J8" s="797"/>
      <c r="K8" s="797"/>
      <c r="L8" s="797"/>
      <c r="M8" s="797"/>
      <c r="N8" s="797"/>
      <c r="O8" s="270"/>
    </row>
    <row r="9" spans="1:15" x14ac:dyDescent="0.3">
      <c r="A9" s="803"/>
      <c r="B9" s="797"/>
      <c r="C9" s="797"/>
      <c r="D9" s="797"/>
      <c r="E9" s="797"/>
      <c r="F9" s="797"/>
      <c r="G9" s="797"/>
      <c r="H9" s="797"/>
      <c r="I9" s="797"/>
      <c r="J9" s="797"/>
      <c r="K9" s="797"/>
      <c r="L9" s="797"/>
      <c r="M9" s="797"/>
      <c r="N9" s="797"/>
      <c r="O9" s="270"/>
    </row>
    <row r="10" spans="1:15" x14ac:dyDescent="0.3">
      <c r="A10" s="804" t="s">
        <v>14</v>
      </c>
      <c r="B10" s="805" t="s">
        <v>19</v>
      </c>
      <c r="C10" s="805" t="s">
        <v>20</v>
      </c>
      <c r="D10" s="805" t="s">
        <v>21</v>
      </c>
      <c r="E10" s="805" t="s">
        <v>22</v>
      </c>
      <c r="F10" s="805" t="s">
        <v>23</v>
      </c>
      <c r="G10" s="805" t="s">
        <v>24</v>
      </c>
      <c r="H10" s="805" t="s">
        <v>25</v>
      </c>
      <c r="I10" s="805" t="s">
        <v>26</v>
      </c>
      <c r="J10" s="805" t="s">
        <v>27</v>
      </c>
      <c r="K10" s="805" t="s">
        <v>28</v>
      </c>
      <c r="L10" s="805" t="s">
        <v>29</v>
      </c>
      <c r="M10" s="805" t="s">
        <v>17</v>
      </c>
      <c r="N10" s="805" t="s">
        <v>18</v>
      </c>
      <c r="O10" s="270"/>
    </row>
    <row r="11" spans="1:15" x14ac:dyDescent="0.3">
      <c r="A11" s="806">
        <v>10</v>
      </c>
      <c r="B11" s="807" t="s">
        <v>405</v>
      </c>
      <c r="C11" s="808" t="s">
        <v>406</v>
      </c>
      <c r="D11" s="809">
        <v>3.3</v>
      </c>
      <c r="E11" s="810">
        <f>J11*K11*L11</f>
        <v>1.3969288083727863E-2</v>
      </c>
      <c r="F11" s="811" t="s">
        <v>212</v>
      </c>
      <c r="G11" s="811"/>
      <c r="H11" s="812"/>
      <c r="I11" s="813" t="s">
        <v>407</v>
      </c>
      <c r="J11" s="813">
        <f>PI()*(7.5*10^-3)^2</f>
        <v>1.7671458676442585E-4</v>
      </c>
      <c r="K11" s="814">
        <v>9.2999999999999992E-3</v>
      </c>
      <c r="L11" s="815">
        <v>8500</v>
      </c>
      <c r="M11" s="815">
        <v>1</v>
      </c>
      <c r="N11" s="809">
        <f>D11*E11</f>
        <v>4.6098650676301943E-2</v>
      </c>
      <c r="O11" s="270"/>
    </row>
    <row r="12" spans="1:15" x14ac:dyDescent="0.3">
      <c r="A12" s="816"/>
      <c r="B12" s="817"/>
      <c r="C12" s="817"/>
      <c r="D12" s="817"/>
      <c r="E12" s="817"/>
      <c r="F12" s="817"/>
      <c r="G12" s="817"/>
      <c r="H12" s="817"/>
      <c r="I12" s="817"/>
      <c r="J12" s="817"/>
      <c r="K12" s="817"/>
      <c r="L12" s="817"/>
      <c r="M12" s="818" t="s">
        <v>18</v>
      </c>
      <c r="N12" s="819">
        <f>N11</f>
        <v>4.6098650676301943E-2</v>
      </c>
      <c r="O12" s="270"/>
    </row>
    <row r="13" spans="1:15" x14ac:dyDescent="0.3">
      <c r="A13" s="803"/>
      <c r="B13" s="797"/>
      <c r="C13" s="797"/>
      <c r="D13" s="797"/>
      <c r="E13" s="797"/>
      <c r="F13" s="797"/>
      <c r="G13" s="797"/>
      <c r="H13" s="797"/>
      <c r="I13" s="797"/>
      <c r="J13" s="797"/>
      <c r="K13" s="797"/>
      <c r="L13" s="797"/>
      <c r="M13" s="797"/>
      <c r="N13" s="797"/>
      <c r="O13" s="270"/>
    </row>
    <row r="14" spans="1:15" x14ac:dyDescent="0.3">
      <c r="A14" s="804" t="s">
        <v>14</v>
      </c>
      <c r="B14" s="805" t="s">
        <v>31</v>
      </c>
      <c r="C14" s="805" t="s">
        <v>20</v>
      </c>
      <c r="D14" s="805" t="s">
        <v>21</v>
      </c>
      <c r="E14" s="805" t="s">
        <v>32</v>
      </c>
      <c r="F14" s="805" t="s">
        <v>17</v>
      </c>
      <c r="G14" s="805" t="s">
        <v>33</v>
      </c>
      <c r="H14" s="805" t="s">
        <v>34</v>
      </c>
      <c r="I14" s="805" t="s">
        <v>18</v>
      </c>
      <c r="J14" s="817"/>
      <c r="K14" s="817"/>
      <c r="L14" s="817"/>
      <c r="M14" s="817"/>
      <c r="N14" s="817"/>
      <c r="O14" s="270"/>
    </row>
    <row r="15" spans="1:15" x14ac:dyDescent="0.3">
      <c r="A15" s="820">
        <v>10</v>
      </c>
      <c r="B15" s="811" t="s">
        <v>39</v>
      </c>
      <c r="C15" s="811"/>
      <c r="D15" s="809">
        <v>1.3</v>
      </c>
      <c r="E15" s="811" t="s">
        <v>35</v>
      </c>
      <c r="F15" s="811">
        <v>1</v>
      </c>
      <c r="G15" s="811"/>
      <c r="H15" s="811"/>
      <c r="I15" s="809">
        <v>1.3</v>
      </c>
      <c r="J15" s="797"/>
      <c r="K15" s="797"/>
      <c r="L15" s="797"/>
      <c r="M15" s="797"/>
      <c r="N15" s="797"/>
      <c r="O15" s="270"/>
    </row>
    <row r="16" spans="1:15" x14ac:dyDescent="0.3">
      <c r="A16" s="820">
        <v>20</v>
      </c>
      <c r="B16" s="811" t="s">
        <v>408</v>
      </c>
      <c r="C16" s="811" t="s">
        <v>409</v>
      </c>
      <c r="D16" s="809">
        <v>0.04</v>
      </c>
      <c r="E16" s="811" t="s">
        <v>161</v>
      </c>
      <c r="F16" s="811">
        <v>1.25</v>
      </c>
      <c r="G16" s="811" t="s">
        <v>410</v>
      </c>
      <c r="H16" s="811">
        <v>0.5</v>
      </c>
      <c r="I16" s="809">
        <f>D16*F16*H16</f>
        <v>2.5000000000000001E-2</v>
      </c>
      <c r="J16" s="797"/>
      <c r="K16" s="797"/>
      <c r="L16" s="797"/>
      <c r="M16" s="797"/>
      <c r="N16" s="797"/>
      <c r="O16" s="270"/>
    </row>
    <row r="17" spans="1:15" x14ac:dyDescent="0.3">
      <c r="A17" s="816"/>
      <c r="B17" s="817"/>
      <c r="C17" s="817"/>
      <c r="D17" s="817"/>
      <c r="E17" s="817"/>
      <c r="F17" s="817"/>
      <c r="G17" s="817"/>
      <c r="H17" s="818" t="s">
        <v>18</v>
      </c>
      <c r="I17" s="821">
        <f>I15+I16</f>
        <v>1.325</v>
      </c>
      <c r="J17" s="817"/>
      <c r="K17" s="817"/>
      <c r="L17" s="817"/>
      <c r="M17" s="817"/>
      <c r="N17" s="817"/>
      <c r="O17" s="270"/>
    </row>
    <row r="18" spans="1:15" x14ac:dyDescent="0.3">
      <c r="A18" s="803"/>
      <c r="B18" s="797"/>
      <c r="C18" s="797"/>
      <c r="D18" s="797"/>
      <c r="E18" s="797"/>
      <c r="F18" s="797"/>
      <c r="G18" s="797"/>
      <c r="H18" s="800"/>
      <c r="I18" s="801"/>
      <c r="J18" s="797"/>
      <c r="K18" s="797"/>
      <c r="L18" s="797"/>
      <c r="M18" s="797"/>
      <c r="N18" s="797"/>
      <c r="O18" s="270"/>
    </row>
    <row r="19" spans="1:15" x14ac:dyDescent="0.3">
      <c r="A19" s="803"/>
      <c r="B19" s="797"/>
      <c r="C19" s="797"/>
      <c r="D19" s="797"/>
      <c r="E19" s="797"/>
      <c r="F19" s="797"/>
      <c r="G19" s="797"/>
      <c r="H19" s="797"/>
      <c r="I19" s="797"/>
      <c r="J19" s="797"/>
      <c r="K19" s="797"/>
      <c r="L19" s="797"/>
      <c r="M19" s="797"/>
      <c r="N19" s="797"/>
      <c r="O19" s="270"/>
    </row>
    <row r="20" spans="1:15" x14ac:dyDescent="0.3">
      <c r="A20" s="803"/>
      <c r="B20" s="797"/>
      <c r="C20" s="797"/>
      <c r="D20" s="797"/>
      <c r="E20" s="797"/>
      <c r="F20" s="797"/>
      <c r="G20" s="797"/>
      <c r="H20" s="797"/>
      <c r="I20" s="797"/>
      <c r="J20" s="797"/>
      <c r="K20" s="797"/>
      <c r="L20" s="797"/>
      <c r="M20" s="797"/>
      <c r="N20" s="797"/>
      <c r="O20" s="270"/>
    </row>
    <row r="21" spans="1:15" x14ac:dyDescent="0.3">
      <c r="A21" s="803"/>
      <c r="B21" s="797"/>
      <c r="C21" s="797"/>
      <c r="D21" s="797"/>
      <c r="E21" s="797"/>
      <c r="F21" s="797"/>
      <c r="G21" s="797"/>
      <c r="H21" s="797"/>
      <c r="I21" s="797"/>
      <c r="J21" s="797"/>
      <c r="K21" s="797"/>
      <c r="L21" s="797"/>
      <c r="M21" s="797"/>
      <c r="N21" s="797"/>
      <c r="O21" s="270"/>
    </row>
    <row r="22" spans="1:15" ht="15" thickBot="1" x14ac:dyDescent="0.35">
      <c r="A22" s="822"/>
      <c r="B22" s="823"/>
      <c r="C22" s="823"/>
      <c r="D22" s="823"/>
      <c r="E22" s="823"/>
      <c r="F22" s="823"/>
      <c r="G22" s="823"/>
      <c r="H22" s="823"/>
      <c r="I22" s="823"/>
      <c r="J22" s="823"/>
      <c r="K22" s="823"/>
      <c r="L22" s="823"/>
      <c r="M22" s="823"/>
      <c r="N22" s="823"/>
      <c r="O22" s="292"/>
    </row>
    <row r="23" spans="1:15" x14ac:dyDescent="0.3">
      <c r="A23" s="16"/>
      <c r="B23" s="824"/>
      <c r="C23" s="824"/>
      <c r="D23" s="824"/>
      <c r="E23" s="824"/>
      <c r="F23" s="824"/>
      <c r="G23" s="824"/>
      <c r="H23" s="824"/>
      <c r="I23" s="824"/>
      <c r="J23" s="824"/>
      <c r="K23" s="824"/>
      <c r="L23" s="824"/>
      <c r="M23" s="824"/>
      <c r="N23" s="824"/>
    </row>
    <row r="24" spans="1:15" x14ac:dyDescent="0.3">
      <c r="A24" s="16"/>
      <c r="B24" s="824"/>
      <c r="C24" s="824"/>
      <c r="D24" s="824"/>
      <c r="E24" s="824"/>
      <c r="F24" s="824"/>
      <c r="G24" s="824"/>
      <c r="H24" s="824"/>
      <c r="I24" s="824"/>
      <c r="J24" s="824"/>
      <c r="K24" s="824"/>
      <c r="L24" s="824"/>
      <c r="M24" s="824"/>
      <c r="N24" s="824"/>
    </row>
    <row r="25" spans="1:15" x14ac:dyDescent="0.3">
      <c r="A25" s="88"/>
      <c r="B25" s="824"/>
      <c r="C25" s="824"/>
      <c r="D25" s="824"/>
      <c r="E25" s="824"/>
      <c r="F25" s="824"/>
      <c r="G25" s="824"/>
      <c r="H25" s="824"/>
      <c r="I25" s="824"/>
      <c r="J25" s="824"/>
      <c r="K25" s="824"/>
      <c r="L25" s="824"/>
      <c r="M25" s="824"/>
      <c r="N25" s="824"/>
    </row>
    <row r="26" spans="1:15" x14ac:dyDescent="0.3">
      <c r="A26" s="18"/>
      <c r="B26" s="824"/>
      <c r="C26" s="824"/>
      <c r="D26" s="824"/>
      <c r="E26" s="824"/>
      <c r="F26" s="824"/>
      <c r="G26" s="824"/>
      <c r="H26" s="824"/>
      <c r="I26" s="824"/>
      <c r="J26" s="824"/>
      <c r="K26" s="824"/>
      <c r="L26" s="824"/>
      <c r="M26" s="824"/>
      <c r="N26" s="824"/>
    </row>
    <row r="27" spans="1:15" x14ac:dyDescent="0.3">
      <c r="A27" s="28"/>
      <c r="B27" s="824"/>
      <c r="C27" s="824"/>
      <c r="D27" s="824"/>
      <c r="E27" s="824"/>
      <c r="F27" s="824"/>
      <c r="G27" s="824"/>
      <c r="H27" s="824"/>
      <c r="I27" s="824"/>
      <c r="J27" s="824"/>
      <c r="K27" s="824"/>
      <c r="L27" s="824"/>
      <c r="M27" s="824"/>
      <c r="N27" s="824"/>
    </row>
    <row r="28" spans="1:15" x14ac:dyDescent="0.3">
      <c r="A28" s="16"/>
      <c r="B28" s="824"/>
      <c r="C28" s="824"/>
      <c r="D28" s="824"/>
      <c r="E28" s="824"/>
      <c r="F28" s="824"/>
      <c r="G28" s="824"/>
      <c r="H28" s="824"/>
      <c r="I28" s="824"/>
      <c r="J28" s="824"/>
      <c r="K28" s="824"/>
      <c r="L28" s="824"/>
      <c r="M28" s="824"/>
      <c r="N28" s="824"/>
    </row>
    <row r="29" spans="1:15" x14ac:dyDescent="0.3">
      <c r="A29" s="16"/>
      <c r="B29" s="824"/>
      <c r="C29" s="824"/>
      <c r="D29" s="824"/>
      <c r="E29" s="824"/>
      <c r="F29" s="824"/>
      <c r="G29" s="824"/>
      <c r="H29" s="824"/>
      <c r="I29" s="824"/>
      <c r="J29" s="824"/>
      <c r="K29" s="824"/>
      <c r="L29" s="824"/>
      <c r="M29" s="824"/>
      <c r="N29" s="824"/>
    </row>
    <row r="30" spans="1:15" x14ac:dyDescent="0.3">
      <c r="A30" s="824"/>
      <c r="B30" s="824"/>
      <c r="C30" s="824"/>
      <c r="D30" s="824"/>
      <c r="E30" s="824"/>
      <c r="F30" s="824"/>
      <c r="G30" s="824"/>
      <c r="H30" s="824"/>
      <c r="I30" s="824"/>
      <c r="J30" s="824"/>
      <c r="K30" s="824"/>
      <c r="L30" s="824"/>
      <c r="M30" s="824"/>
      <c r="N30" s="824"/>
    </row>
    <row r="31" spans="1:15" x14ac:dyDescent="0.3">
      <c r="A31" s="824"/>
      <c r="B31" s="824"/>
      <c r="C31" s="824"/>
      <c r="D31" s="824"/>
      <c r="E31" s="824"/>
      <c r="F31" s="824"/>
      <c r="G31" s="824"/>
      <c r="H31" s="824"/>
      <c r="I31" s="824"/>
      <c r="J31" s="824"/>
      <c r="K31" s="824"/>
      <c r="L31" s="824"/>
      <c r="M31" s="824"/>
      <c r="N31" s="824"/>
    </row>
    <row r="32" spans="1:15" x14ac:dyDescent="0.3">
      <c r="A32" s="824"/>
      <c r="B32" s="824"/>
      <c r="C32" s="824"/>
      <c r="D32" s="824"/>
      <c r="E32" s="824"/>
      <c r="F32" s="824"/>
      <c r="G32" s="824"/>
      <c r="H32" s="824"/>
      <c r="I32" s="824"/>
      <c r="J32" s="824"/>
      <c r="K32" s="824"/>
      <c r="L32" s="824"/>
      <c r="M32" s="824"/>
      <c r="N32" s="824"/>
    </row>
    <row r="33" spans="1:14" x14ac:dyDescent="0.3">
      <c r="A33" s="824"/>
      <c r="B33" s="824"/>
      <c r="C33" s="824"/>
      <c r="D33" s="824"/>
      <c r="E33" s="824"/>
      <c r="F33" s="824"/>
      <c r="G33" s="824"/>
      <c r="H33" s="824"/>
      <c r="I33" s="824"/>
      <c r="J33" s="824"/>
      <c r="K33" s="824"/>
      <c r="L33" s="824"/>
      <c r="M33" s="824"/>
      <c r="N33" s="824"/>
    </row>
    <row r="34" spans="1:14" x14ac:dyDescent="0.3">
      <c r="A34" s="824"/>
      <c r="B34" s="824"/>
      <c r="C34" s="824"/>
      <c r="D34" s="824"/>
      <c r="E34" s="824"/>
      <c r="F34" s="824"/>
      <c r="G34" s="824"/>
      <c r="H34" s="824"/>
      <c r="I34" s="824"/>
      <c r="J34" s="824"/>
      <c r="K34" s="824"/>
      <c r="L34" s="824"/>
      <c r="M34" s="824"/>
      <c r="N34" s="824"/>
    </row>
    <row r="35" spans="1:14" x14ac:dyDescent="0.3">
      <c r="A35" s="824"/>
      <c r="B35" s="824"/>
      <c r="C35" s="824"/>
      <c r="D35" s="824"/>
      <c r="E35" s="824"/>
      <c r="F35" s="824"/>
      <c r="G35" s="824"/>
      <c r="H35" s="824"/>
      <c r="I35" s="824"/>
      <c r="J35" s="824"/>
      <c r="K35" s="824"/>
      <c r="L35" s="824"/>
      <c r="M35" s="824"/>
      <c r="N35" s="824"/>
    </row>
    <row r="36" spans="1:14" x14ac:dyDescent="0.3">
      <c r="A36" s="824"/>
      <c r="B36" s="824"/>
      <c r="C36" s="824"/>
      <c r="D36" s="824"/>
      <c r="E36" s="824"/>
      <c r="F36" s="824"/>
      <c r="G36" s="824"/>
      <c r="H36" s="824"/>
      <c r="I36" s="824"/>
      <c r="J36" s="824"/>
      <c r="K36" s="824"/>
      <c r="L36" s="824"/>
      <c r="M36" s="824"/>
      <c r="N36" s="824"/>
    </row>
    <row r="37" spans="1:14" x14ac:dyDescent="0.3">
      <c r="A37" s="824"/>
      <c r="B37" s="824"/>
      <c r="C37" s="824"/>
      <c r="D37" s="824"/>
      <c r="E37" s="824"/>
      <c r="F37" s="824"/>
      <c r="G37" s="824"/>
      <c r="H37" s="824"/>
      <c r="I37" s="824"/>
      <c r="J37" s="824"/>
      <c r="K37" s="824"/>
      <c r="L37" s="824"/>
      <c r="M37" s="824"/>
      <c r="N37" s="824"/>
    </row>
    <row r="38" spans="1:14" x14ac:dyDescent="0.3">
      <c r="A38" s="824"/>
      <c r="B38" s="824"/>
      <c r="C38" s="824"/>
      <c r="D38" s="824"/>
      <c r="E38" s="824"/>
      <c r="F38" s="824"/>
      <c r="G38" s="824"/>
      <c r="H38" s="824"/>
      <c r="I38" s="824"/>
      <c r="J38" s="824"/>
      <c r="K38" s="824"/>
      <c r="L38" s="824"/>
      <c r="M38" s="824"/>
      <c r="N38" s="824"/>
    </row>
    <row r="39" spans="1:14" x14ac:dyDescent="0.3">
      <c r="A39" s="824"/>
      <c r="B39" s="824"/>
      <c r="C39" s="824"/>
      <c r="D39" s="824"/>
      <c r="E39" s="824"/>
      <c r="F39" s="824"/>
      <c r="G39" s="824"/>
      <c r="H39" s="824"/>
      <c r="I39" s="824"/>
      <c r="J39" s="824"/>
      <c r="K39" s="824"/>
      <c r="L39" s="824"/>
      <c r="M39" s="824"/>
      <c r="N39" s="824"/>
    </row>
    <row r="40" spans="1:14" x14ac:dyDescent="0.3">
      <c r="A40" s="824"/>
      <c r="B40" s="824"/>
      <c r="C40" s="824"/>
      <c r="D40" s="824"/>
      <c r="E40" s="824"/>
      <c r="F40" s="824"/>
      <c r="G40" s="824"/>
      <c r="H40" s="824"/>
      <c r="I40" s="824"/>
      <c r="J40" s="824"/>
      <c r="K40" s="824"/>
      <c r="L40" s="824"/>
      <c r="M40" s="824"/>
      <c r="N40" s="824"/>
    </row>
    <row r="41" spans="1:14" x14ac:dyDescent="0.3">
      <c r="A41" s="824"/>
      <c r="B41" s="824"/>
      <c r="C41" s="824"/>
      <c r="D41" s="824"/>
      <c r="E41" s="824"/>
      <c r="F41" s="824"/>
      <c r="G41" s="824"/>
      <c r="H41" s="824"/>
      <c r="I41" s="824"/>
      <c r="J41" s="824"/>
      <c r="K41" s="824"/>
      <c r="L41" s="824"/>
      <c r="M41" s="824"/>
      <c r="N41" s="824"/>
    </row>
    <row r="42" spans="1:14" x14ac:dyDescent="0.3">
      <c r="A42" s="824"/>
      <c r="B42" s="824"/>
      <c r="C42" s="824"/>
      <c r="D42" s="824"/>
      <c r="E42" s="824"/>
      <c r="F42" s="824"/>
      <c r="G42" s="824"/>
      <c r="H42" s="824"/>
      <c r="I42" s="824"/>
      <c r="J42" s="824"/>
      <c r="K42" s="824"/>
      <c r="L42" s="824"/>
      <c r="M42" s="824"/>
      <c r="N42" s="824"/>
    </row>
    <row r="43" spans="1:14" x14ac:dyDescent="0.3">
      <c r="A43" s="824"/>
      <c r="B43" s="824"/>
      <c r="C43" s="824"/>
      <c r="D43" s="824"/>
      <c r="E43" s="824"/>
      <c r="F43" s="824"/>
      <c r="G43" s="824"/>
      <c r="H43" s="824"/>
      <c r="I43" s="824"/>
      <c r="J43" s="824"/>
      <c r="K43" s="824"/>
      <c r="L43" s="824"/>
      <c r="M43" s="824"/>
      <c r="N43" s="824"/>
    </row>
    <row r="44" spans="1:14" x14ac:dyDescent="0.3">
      <c r="A44" s="824"/>
      <c r="B44" s="824"/>
      <c r="C44" s="824"/>
      <c r="D44" s="824"/>
      <c r="E44" s="824"/>
      <c r="F44" s="824"/>
      <c r="G44" s="824"/>
      <c r="H44" s="824"/>
      <c r="I44" s="824"/>
      <c r="J44" s="824"/>
      <c r="K44" s="824"/>
      <c r="L44" s="824"/>
      <c r="M44" s="824"/>
      <c r="N44" s="824"/>
    </row>
    <row r="45" spans="1:14" x14ac:dyDescent="0.3">
      <c r="A45" s="824"/>
      <c r="B45" s="824"/>
      <c r="C45" s="824"/>
      <c r="D45" s="824"/>
      <c r="E45" s="824"/>
      <c r="F45" s="824"/>
      <c r="G45" s="824"/>
      <c r="H45" s="824"/>
      <c r="I45" s="824"/>
      <c r="J45" s="824"/>
      <c r="K45" s="824"/>
      <c r="L45" s="824"/>
      <c r="M45" s="824"/>
      <c r="N45" s="824"/>
    </row>
    <row r="46" spans="1:14" x14ac:dyDescent="0.3">
      <c r="A46" s="824"/>
      <c r="B46" s="824"/>
      <c r="C46" s="824"/>
      <c r="D46" s="824"/>
      <c r="E46" s="824"/>
      <c r="F46" s="824"/>
      <c r="G46" s="824"/>
      <c r="H46" s="824"/>
      <c r="I46" s="824"/>
      <c r="J46" s="824"/>
      <c r="K46" s="824"/>
      <c r="L46" s="824"/>
      <c r="M46" s="824"/>
      <c r="N46" s="824"/>
    </row>
    <row r="47" spans="1:14" x14ac:dyDescent="0.3">
      <c r="A47" s="824"/>
      <c r="B47" s="824"/>
      <c r="C47" s="824"/>
      <c r="D47" s="824"/>
      <c r="E47" s="824"/>
      <c r="F47" s="824"/>
      <c r="G47" s="824"/>
      <c r="H47" s="824"/>
      <c r="I47" s="824"/>
      <c r="J47" s="824"/>
      <c r="K47" s="824"/>
      <c r="L47" s="824"/>
      <c r="M47" s="824"/>
      <c r="N47" s="824"/>
    </row>
    <row r="48" spans="1:14" x14ac:dyDescent="0.3">
      <c r="A48" s="824"/>
      <c r="B48" s="824"/>
      <c r="C48" s="824"/>
      <c r="D48" s="824"/>
      <c r="E48" s="824"/>
      <c r="F48" s="824"/>
      <c r="G48" s="824"/>
      <c r="H48" s="824"/>
      <c r="I48" s="824"/>
      <c r="J48" s="824"/>
      <c r="K48" s="824"/>
      <c r="L48" s="824"/>
      <c r="M48" s="824"/>
      <c r="N48" s="824"/>
    </row>
    <row r="49" spans="1:14" x14ac:dyDescent="0.3">
      <c r="A49" s="824"/>
      <c r="B49" s="824"/>
      <c r="C49" s="824"/>
      <c r="D49" s="824"/>
      <c r="E49" s="824"/>
      <c r="F49" s="824"/>
      <c r="G49" s="824"/>
      <c r="H49" s="824"/>
      <c r="I49" s="824"/>
      <c r="J49" s="824"/>
      <c r="K49" s="824"/>
      <c r="L49" s="824"/>
      <c r="M49" s="824"/>
      <c r="N49" s="824"/>
    </row>
    <row r="50" spans="1:14" x14ac:dyDescent="0.3">
      <c r="A50" s="824"/>
      <c r="B50" s="824"/>
      <c r="C50" s="824"/>
      <c r="D50" s="824"/>
      <c r="E50" s="824"/>
      <c r="F50" s="824"/>
      <c r="G50" s="824"/>
      <c r="H50" s="824"/>
      <c r="I50" s="824"/>
      <c r="J50" s="824"/>
      <c r="K50" s="824"/>
      <c r="L50" s="824"/>
      <c r="M50" s="824"/>
      <c r="N50" s="824"/>
    </row>
    <row r="51" spans="1:14" x14ac:dyDescent="0.3">
      <c r="A51" s="824"/>
      <c r="B51" s="824"/>
      <c r="C51" s="824"/>
      <c r="D51" s="824"/>
      <c r="E51" s="824"/>
      <c r="F51" s="824"/>
      <c r="G51" s="824"/>
      <c r="H51" s="824"/>
      <c r="I51" s="824"/>
      <c r="J51" s="824"/>
      <c r="K51" s="824"/>
      <c r="L51" s="824"/>
      <c r="M51" s="824"/>
      <c r="N51" s="824"/>
    </row>
    <row r="52" spans="1:14" x14ac:dyDescent="0.3">
      <c r="A52" s="824"/>
      <c r="B52" s="824"/>
      <c r="C52" s="824"/>
      <c r="D52" s="824"/>
      <c r="E52" s="824"/>
      <c r="F52" s="824"/>
      <c r="G52" s="824"/>
      <c r="H52" s="824"/>
      <c r="I52" s="824"/>
      <c r="J52" s="824"/>
      <c r="K52" s="824"/>
      <c r="L52" s="824"/>
      <c r="M52" s="824"/>
      <c r="N52" s="824"/>
    </row>
    <row r="53" spans="1:14" x14ac:dyDescent="0.3">
      <c r="A53" s="824"/>
      <c r="B53" s="824"/>
      <c r="C53" s="824"/>
      <c r="D53" s="824"/>
      <c r="E53" s="824"/>
      <c r="F53" s="824"/>
      <c r="G53" s="824"/>
      <c r="H53" s="824"/>
      <c r="I53" s="824"/>
      <c r="J53" s="824"/>
      <c r="K53" s="824"/>
      <c r="L53" s="824"/>
      <c r="M53" s="824"/>
      <c r="N53" s="824"/>
    </row>
    <row r="54" spans="1:14" x14ac:dyDescent="0.3">
      <c r="A54" s="824"/>
      <c r="B54" s="824"/>
      <c r="C54" s="824"/>
      <c r="D54" s="824"/>
      <c r="E54" s="824"/>
      <c r="F54" s="824"/>
      <c r="G54" s="824"/>
      <c r="H54" s="824"/>
      <c r="I54" s="824"/>
      <c r="J54" s="824"/>
      <c r="K54" s="824"/>
      <c r="L54" s="824"/>
      <c r="M54" s="824"/>
      <c r="N54" s="824"/>
    </row>
    <row r="55" spans="1:14" x14ac:dyDescent="0.3">
      <c r="A55" s="824"/>
      <c r="B55" s="824"/>
      <c r="C55" s="824"/>
      <c r="D55" s="824"/>
      <c r="E55" s="824"/>
      <c r="F55" s="824"/>
      <c r="G55" s="824"/>
      <c r="H55" s="824"/>
      <c r="I55" s="824"/>
      <c r="J55" s="824"/>
      <c r="K55" s="824"/>
      <c r="L55" s="824"/>
      <c r="M55" s="824"/>
      <c r="N55" s="824"/>
    </row>
    <row r="56" spans="1:14" x14ac:dyDescent="0.3">
      <c r="A56" s="824"/>
      <c r="B56" s="824"/>
      <c r="C56" s="824"/>
      <c r="D56" s="824"/>
      <c r="E56" s="824"/>
      <c r="F56" s="824"/>
      <c r="G56" s="824"/>
      <c r="H56" s="824"/>
      <c r="I56" s="824"/>
      <c r="J56" s="824"/>
      <c r="K56" s="824"/>
      <c r="L56" s="824"/>
      <c r="M56" s="824"/>
      <c r="N56" s="824"/>
    </row>
    <row r="57" spans="1:14" x14ac:dyDescent="0.3">
      <c r="A57" s="824"/>
      <c r="B57" s="824"/>
      <c r="C57" s="824"/>
      <c r="D57" s="824"/>
      <c r="E57" s="824"/>
      <c r="F57" s="824"/>
      <c r="G57" s="824"/>
      <c r="H57" s="824"/>
      <c r="I57" s="824"/>
      <c r="J57" s="824"/>
      <c r="K57" s="824"/>
      <c r="L57" s="824"/>
      <c r="M57" s="824"/>
      <c r="N57" s="824"/>
    </row>
    <row r="58" spans="1:14" x14ac:dyDescent="0.3">
      <c r="A58" s="824"/>
      <c r="B58" s="824"/>
      <c r="C58" s="824"/>
      <c r="D58" s="824"/>
      <c r="E58" s="824"/>
      <c r="F58" s="824"/>
      <c r="G58" s="824"/>
      <c r="H58" s="824"/>
      <c r="I58" s="824"/>
      <c r="J58" s="824"/>
      <c r="K58" s="824"/>
      <c r="L58" s="824"/>
      <c r="M58" s="824"/>
      <c r="N58" s="824"/>
    </row>
    <row r="59" spans="1:14" x14ac:dyDescent="0.3">
      <c r="A59" s="824"/>
      <c r="B59" s="824"/>
      <c r="C59" s="824"/>
      <c r="D59" s="824"/>
      <c r="E59" s="824"/>
      <c r="F59" s="824"/>
      <c r="G59" s="824"/>
      <c r="H59" s="824"/>
      <c r="I59" s="824"/>
      <c r="J59" s="824"/>
      <c r="K59" s="824"/>
      <c r="L59" s="824"/>
      <c r="M59" s="824"/>
      <c r="N59" s="824"/>
    </row>
    <row r="60" spans="1:14" x14ac:dyDescent="0.3">
      <c r="A60" s="824"/>
      <c r="B60" s="824"/>
      <c r="C60" s="824"/>
      <c r="D60" s="824"/>
      <c r="E60" s="824"/>
      <c r="F60" s="824"/>
      <c r="G60" s="824"/>
      <c r="H60" s="824"/>
      <c r="I60" s="824"/>
      <c r="J60" s="824"/>
      <c r="K60" s="824"/>
      <c r="L60" s="824"/>
      <c r="M60" s="824"/>
      <c r="N60" s="824"/>
    </row>
    <row r="61" spans="1:14" x14ac:dyDescent="0.3">
      <c r="A61" s="824"/>
      <c r="B61" s="824"/>
      <c r="C61" s="824"/>
      <c r="D61" s="824"/>
      <c r="E61" s="824"/>
      <c r="F61" s="824"/>
      <c r="G61" s="824"/>
      <c r="H61" s="824"/>
      <c r="I61" s="824"/>
      <c r="J61" s="824"/>
      <c r="K61" s="824"/>
      <c r="L61" s="824"/>
      <c r="M61" s="824"/>
      <c r="N61" s="824"/>
    </row>
    <row r="62" spans="1:14" x14ac:dyDescent="0.3">
      <c r="A62" s="824"/>
      <c r="B62" s="824"/>
      <c r="C62" s="824"/>
      <c r="D62" s="824"/>
      <c r="E62" s="824"/>
      <c r="F62" s="824"/>
      <c r="G62" s="824"/>
      <c r="H62" s="824"/>
      <c r="I62" s="824"/>
      <c r="J62" s="824"/>
      <c r="K62" s="824"/>
      <c r="L62" s="824"/>
      <c r="M62" s="824"/>
      <c r="N62" s="824"/>
    </row>
    <row r="63" spans="1:14" x14ac:dyDescent="0.3">
      <c r="A63" s="824"/>
      <c r="B63" s="824"/>
      <c r="C63" s="824"/>
      <c r="D63" s="824"/>
      <c r="E63" s="824"/>
      <c r="F63" s="824"/>
      <c r="G63" s="824"/>
      <c r="H63" s="824"/>
      <c r="I63" s="824"/>
      <c r="J63" s="824"/>
      <c r="K63" s="824"/>
      <c r="L63" s="824"/>
      <c r="M63" s="824"/>
      <c r="N63" s="824"/>
    </row>
    <row r="64" spans="1:14" x14ac:dyDescent="0.3">
      <c r="A64" s="824"/>
      <c r="B64" s="824"/>
      <c r="C64" s="824"/>
      <c r="D64" s="824"/>
      <c r="E64" s="824"/>
      <c r="F64" s="824"/>
      <c r="G64" s="824"/>
      <c r="H64" s="824"/>
      <c r="I64" s="824"/>
      <c r="J64" s="824"/>
      <c r="K64" s="824"/>
      <c r="L64" s="824"/>
      <c r="M64" s="824"/>
      <c r="N64" s="824"/>
    </row>
    <row r="65" spans="1:14" x14ac:dyDescent="0.3">
      <c r="A65" s="824"/>
      <c r="B65" s="824"/>
      <c r="C65" s="824"/>
      <c r="D65" s="824"/>
      <c r="E65" s="824"/>
      <c r="F65" s="824"/>
      <c r="G65" s="824"/>
      <c r="H65" s="824"/>
      <c r="I65" s="824"/>
      <c r="J65" s="824"/>
      <c r="K65" s="824"/>
      <c r="L65" s="824"/>
      <c r="M65" s="824"/>
      <c r="N65" s="824"/>
    </row>
    <row r="66" spans="1:14" x14ac:dyDescent="0.3">
      <c r="A66" s="824"/>
      <c r="B66" s="824"/>
      <c r="C66" s="824"/>
      <c r="D66" s="824"/>
      <c r="E66" s="824"/>
      <c r="F66" s="824"/>
      <c r="G66" s="824"/>
      <c r="H66" s="824"/>
      <c r="I66" s="824"/>
      <c r="J66" s="824"/>
      <c r="K66" s="824"/>
      <c r="L66" s="824"/>
      <c r="M66" s="824"/>
      <c r="N66" s="824"/>
    </row>
    <row r="67" spans="1:14" x14ac:dyDescent="0.3">
      <c r="A67" s="824"/>
      <c r="B67" s="824"/>
      <c r="C67" s="824"/>
      <c r="D67" s="824"/>
      <c r="E67" s="824"/>
      <c r="F67" s="824"/>
      <c r="G67" s="824"/>
      <c r="H67" s="824"/>
      <c r="I67" s="824"/>
      <c r="J67" s="824"/>
      <c r="K67" s="824"/>
      <c r="L67" s="824"/>
      <c r="M67" s="824"/>
      <c r="N67" s="824"/>
    </row>
    <row r="68" spans="1:14" x14ac:dyDescent="0.3">
      <c r="A68" s="824"/>
      <c r="B68" s="824"/>
      <c r="C68" s="824"/>
      <c r="D68" s="824"/>
      <c r="E68" s="824"/>
      <c r="F68" s="824"/>
      <c r="G68" s="824"/>
      <c r="H68" s="824"/>
      <c r="I68" s="824"/>
      <c r="J68" s="824"/>
      <c r="K68" s="824"/>
      <c r="L68" s="824"/>
      <c r="M68" s="824"/>
      <c r="N68" s="824"/>
    </row>
    <row r="69" spans="1:14" x14ac:dyDescent="0.3">
      <c r="A69" s="824"/>
      <c r="B69" s="824"/>
      <c r="C69" s="824"/>
      <c r="D69" s="824"/>
      <c r="E69" s="824"/>
      <c r="F69" s="824"/>
      <c r="G69" s="824"/>
      <c r="H69" s="824"/>
      <c r="I69" s="824"/>
      <c r="J69" s="824"/>
      <c r="K69" s="824"/>
      <c r="L69" s="824"/>
      <c r="M69" s="824"/>
      <c r="N69" s="824"/>
    </row>
    <row r="70" spans="1:14" x14ac:dyDescent="0.3">
      <c r="A70" s="824"/>
      <c r="B70" s="824"/>
      <c r="C70" s="824"/>
      <c r="D70" s="824"/>
      <c r="E70" s="824"/>
      <c r="F70" s="824"/>
      <c r="G70" s="824"/>
      <c r="H70" s="824"/>
      <c r="I70" s="824"/>
      <c r="J70" s="824"/>
      <c r="K70" s="824"/>
      <c r="L70" s="824"/>
      <c r="M70" s="824"/>
      <c r="N70" s="824"/>
    </row>
    <row r="71" spans="1:14" x14ac:dyDescent="0.3">
      <c r="A71" s="824"/>
      <c r="B71" s="824"/>
      <c r="C71" s="824"/>
      <c r="D71" s="824"/>
      <c r="E71" s="824"/>
      <c r="F71" s="824"/>
      <c r="G71" s="824"/>
      <c r="H71" s="824"/>
      <c r="I71" s="824"/>
      <c r="J71" s="824"/>
      <c r="K71" s="824"/>
      <c r="L71" s="824"/>
      <c r="M71" s="824"/>
      <c r="N71" s="824"/>
    </row>
    <row r="72" spans="1:14" x14ac:dyDescent="0.3">
      <c r="A72" s="824"/>
      <c r="B72" s="824"/>
      <c r="C72" s="824"/>
      <c r="D72" s="824"/>
      <c r="E72" s="824"/>
      <c r="F72" s="824"/>
      <c r="G72" s="824"/>
      <c r="H72" s="824"/>
      <c r="I72" s="824"/>
      <c r="J72" s="824"/>
      <c r="K72" s="824"/>
      <c r="L72" s="824"/>
      <c r="M72" s="824"/>
      <c r="N72" s="824"/>
    </row>
    <row r="73" spans="1:14" x14ac:dyDescent="0.3">
      <c r="A73" s="824"/>
      <c r="B73" s="824"/>
      <c r="C73" s="824"/>
      <c r="D73" s="824"/>
      <c r="E73" s="824"/>
      <c r="F73" s="824"/>
      <c r="G73" s="824"/>
      <c r="H73" s="824"/>
      <c r="I73" s="824"/>
      <c r="J73" s="824"/>
      <c r="K73" s="824"/>
      <c r="L73" s="824"/>
      <c r="M73" s="824"/>
      <c r="N73" s="824"/>
    </row>
    <row r="74" spans="1:14" x14ac:dyDescent="0.3">
      <c r="A74" s="824"/>
      <c r="B74" s="824"/>
      <c r="C74" s="824"/>
      <c r="D74" s="824"/>
      <c r="E74" s="824"/>
      <c r="F74" s="824"/>
      <c r="G74" s="824"/>
      <c r="H74" s="824"/>
      <c r="I74" s="824"/>
      <c r="J74" s="824"/>
      <c r="K74" s="824"/>
      <c r="L74" s="824"/>
      <c r="M74" s="824"/>
      <c r="N74" s="824"/>
    </row>
    <row r="75" spans="1:14" x14ac:dyDescent="0.3">
      <c r="A75" s="824"/>
      <c r="B75" s="824"/>
      <c r="C75" s="824"/>
      <c r="D75" s="824"/>
      <c r="E75" s="824"/>
      <c r="F75" s="824"/>
      <c r="G75" s="824"/>
      <c r="H75" s="824"/>
      <c r="I75" s="824"/>
      <c r="J75" s="824"/>
      <c r="K75" s="824"/>
      <c r="L75" s="824"/>
      <c r="M75" s="824"/>
      <c r="N75" s="824"/>
    </row>
    <row r="76" spans="1:14" x14ac:dyDescent="0.3">
      <c r="A76" s="824"/>
      <c r="B76" s="824"/>
      <c r="C76" s="824"/>
      <c r="D76" s="824"/>
      <c r="E76" s="824"/>
      <c r="F76" s="824"/>
      <c r="G76" s="824"/>
      <c r="H76" s="824"/>
      <c r="I76" s="824"/>
      <c r="J76" s="824"/>
      <c r="K76" s="824"/>
      <c r="L76" s="824"/>
      <c r="M76" s="824"/>
      <c r="N76" s="824"/>
    </row>
    <row r="77" spans="1:14" x14ac:dyDescent="0.3">
      <c r="A77" s="824"/>
      <c r="B77" s="824"/>
      <c r="C77" s="824"/>
      <c r="D77" s="824"/>
      <c r="E77" s="824"/>
      <c r="F77" s="824"/>
      <c r="G77" s="824"/>
      <c r="H77" s="824"/>
      <c r="I77" s="824"/>
      <c r="J77" s="824"/>
      <c r="K77" s="824"/>
      <c r="L77" s="824"/>
      <c r="M77" s="824"/>
      <c r="N77" s="824"/>
    </row>
    <row r="78" spans="1:14" x14ac:dyDescent="0.3">
      <c r="A78" s="824"/>
      <c r="B78" s="824"/>
      <c r="C78" s="824"/>
      <c r="D78" s="824"/>
      <c r="E78" s="824"/>
      <c r="F78" s="824"/>
      <c r="G78" s="824"/>
      <c r="H78" s="824"/>
      <c r="I78" s="824"/>
      <c r="J78" s="824"/>
      <c r="K78" s="824"/>
      <c r="L78" s="824"/>
      <c r="M78" s="824"/>
      <c r="N78" s="824"/>
    </row>
    <row r="79" spans="1:14" x14ac:dyDescent="0.3">
      <c r="A79" s="824"/>
      <c r="B79" s="824"/>
      <c r="C79" s="824"/>
      <c r="D79" s="824"/>
      <c r="E79" s="824"/>
      <c r="F79" s="824"/>
      <c r="G79" s="824"/>
      <c r="H79" s="824"/>
      <c r="I79" s="824"/>
      <c r="J79" s="824"/>
      <c r="K79" s="824"/>
      <c r="L79" s="824"/>
      <c r="M79" s="824"/>
      <c r="N79" s="824"/>
    </row>
    <row r="80" spans="1:14" x14ac:dyDescent="0.3">
      <c r="A80" s="824"/>
      <c r="B80" s="824"/>
      <c r="C80" s="824"/>
      <c r="D80" s="824"/>
      <c r="E80" s="824"/>
      <c r="F80" s="824"/>
      <c r="G80" s="824"/>
      <c r="H80" s="824"/>
      <c r="I80" s="824"/>
      <c r="J80" s="824"/>
      <c r="K80" s="824"/>
      <c r="L80" s="824"/>
      <c r="M80" s="824"/>
      <c r="N80" s="824"/>
    </row>
    <row r="81" spans="1:14" x14ac:dyDescent="0.3">
      <c r="A81" s="824"/>
      <c r="B81" s="824"/>
      <c r="C81" s="824"/>
      <c r="D81" s="824"/>
      <c r="E81" s="824"/>
      <c r="F81" s="824"/>
      <c r="G81" s="824"/>
      <c r="H81" s="824"/>
      <c r="I81" s="824"/>
      <c r="J81" s="824"/>
      <c r="K81" s="824"/>
      <c r="L81" s="824"/>
      <c r="M81" s="824"/>
      <c r="N81" s="824"/>
    </row>
    <row r="82" spans="1:14" x14ac:dyDescent="0.3">
      <c r="A82" s="824"/>
      <c r="B82" s="824"/>
      <c r="C82" s="824"/>
      <c r="D82" s="824"/>
      <c r="E82" s="824"/>
      <c r="F82" s="824"/>
      <c r="G82" s="824"/>
      <c r="H82" s="824"/>
      <c r="I82" s="824"/>
      <c r="J82" s="824"/>
      <c r="K82" s="824"/>
      <c r="L82" s="824"/>
      <c r="M82" s="824"/>
      <c r="N82" s="824"/>
    </row>
    <row r="83" spans="1:14" x14ac:dyDescent="0.3">
      <c r="A83" s="824"/>
      <c r="B83" s="824"/>
      <c r="C83" s="824"/>
      <c r="D83" s="824"/>
      <c r="E83" s="824"/>
      <c r="F83" s="824"/>
      <c r="G83" s="824"/>
      <c r="H83" s="824"/>
      <c r="I83" s="824"/>
      <c r="J83" s="824"/>
      <c r="K83" s="824"/>
      <c r="L83" s="824"/>
      <c r="M83" s="824"/>
      <c r="N83" s="824"/>
    </row>
    <row r="84" spans="1:14" x14ac:dyDescent="0.3">
      <c r="A84" s="824"/>
      <c r="B84" s="824"/>
      <c r="C84" s="824"/>
      <c r="D84" s="824"/>
      <c r="E84" s="824"/>
      <c r="F84" s="824"/>
      <c r="G84" s="824"/>
      <c r="H84" s="824"/>
      <c r="I84" s="824"/>
      <c r="J84" s="824"/>
      <c r="K84" s="824"/>
      <c r="L84" s="824"/>
      <c r="M84" s="824"/>
      <c r="N84" s="824"/>
    </row>
    <row r="85" spans="1:14" x14ac:dyDescent="0.3">
      <c r="A85" s="824"/>
      <c r="B85" s="824"/>
      <c r="C85" s="824"/>
      <c r="D85" s="824"/>
      <c r="E85" s="824"/>
      <c r="F85" s="824"/>
      <c r="G85" s="824"/>
      <c r="H85" s="824"/>
      <c r="I85" s="824"/>
      <c r="J85" s="824"/>
      <c r="K85" s="824"/>
      <c r="L85" s="824"/>
      <c r="M85" s="824"/>
      <c r="N85" s="824"/>
    </row>
    <row r="86" spans="1:14" x14ac:dyDescent="0.3">
      <c r="A86" s="824"/>
      <c r="B86" s="824"/>
      <c r="C86" s="824"/>
      <c r="D86" s="824"/>
      <c r="E86" s="824"/>
      <c r="F86" s="824"/>
      <c r="G86" s="824"/>
      <c r="H86" s="824"/>
      <c r="I86" s="824"/>
      <c r="J86" s="824"/>
      <c r="K86" s="824"/>
      <c r="L86" s="824"/>
      <c r="M86" s="824"/>
      <c r="N86" s="824"/>
    </row>
    <row r="87" spans="1:14" x14ac:dyDescent="0.3">
      <c r="A87" s="824"/>
      <c r="B87" s="824"/>
      <c r="C87" s="824"/>
      <c r="D87" s="824"/>
      <c r="E87" s="824"/>
      <c r="F87" s="824"/>
      <c r="G87" s="824"/>
      <c r="H87" s="824"/>
      <c r="I87" s="824"/>
      <c r="J87" s="824"/>
      <c r="K87" s="824"/>
      <c r="L87" s="824"/>
      <c r="M87" s="824"/>
      <c r="N87" s="824"/>
    </row>
    <row r="88" spans="1:14" x14ac:dyDescent="0.3">
      <c r="A88" s="824"/>
      <c r="B88" s="824"/>
      <c r="C88" s="824"/>
      <c r="D88" s="824"/>
      <c r="E88" s="824"/>
      <c r="F88" s="824"/>
      <c r="G88" s="824"/>
      <c r="H88" s="824"/>
      <c r="I88" s="824"/>
      <c r="J88" s="824"/>
      <c r="K88" s="824"/>
      <c r="L88" s="824"/>
      <c r="M88" s="824"/>
      <c r="N88" s="824"/>
    </row>
    <row r="89" spans="1:14" x14ac:dyDescent="0.3">
      <c r="A89" s="824"/>
      <c r="B89" s="824"/>
      <c r="C89" s="824"/>
      <c r="D89" s="824"/>
      <c r="E89" s="824"/>
      <c r="F89" s="824"/>
      <c r="G89" s="824"/>
      <c r="H89" s="824"/>
      <c r="I89" s="824"/>
      <c r="J89" s="824"/>
      <c r="K89" s="824"/>
      <c r="L89" s="824"/>
      <c r="M89" s="824"/>
      <c r="N89" s="824"/>
    </row>
    <row r="90" spans="1:14" x14ac:dyDescent="0.3">
      <c r="A90" s="824"/>
      <c r="B90" s="824"/>
      <c r="C90" s="824"/>
      <c r="D90" s="824"/>
      <c r="E90" s="824"/>
      <c r="F90" s="824"/>
      <c r="G90" s="824"/>
      <c r="H90" s="824"/>
      <c r="I90" s="824"/>
      <c r="J90" s="824"/>
      <c r="K90" s="824"/>
      <c r="L90" s="824"/>
      <c r="M90" s="824"/>
      <c r="N90" s="824"/>
    </row>
    <row r="91" spans="1:14" x14ac:dyDescent="0.3">
      <c r="A91" s="824"/>
      <c r="B91" s="824"/>
      <c r="C91" s="824"/>
      <c r="D91" s="824"/>
      <c r="E91" s="824"/>
      <c r="F91" s="824"/>
      <c r="G91" s="824"/>
      <c r="H91" s="824"/>
      <c r="I91" s="824"/>
      <c r="J91" s="824"/>
      <c r="K91" s="824"/>
      <c r="L91" s="824"/>
      <c r="M91" s="824"/>
      <c r="N91" s="824"/>
    </row>
    <row r="92" spans="1:14" x14ac:dyDescent="0.3">
      <c r="A92" s="824"/>
      <c r="B92" s="824"/>
      <c r="C92" s="824"/>
      <c r="D92" s="824"/>
      <c r="E92" s="824"/>
      <c r="F92" s="824"/>
      <c r="G92" s="824"/>
      <c r="H92" s="824"/>
      <c r="I92" s="824"/>
      <c r="J92" s="824"/>
      <c r="K92" s="824"/>
      <c r="L92" s="824"/>
      <c r="M92" s="824"/>
      <c r="N92" s="824"/>
    </row>
    <row r="93" spans="1:14" x14ac:dyDescent="0.3">
      <c r="A93" s="824"/>
      <c r="B93" s="824"/>
      <c r="C93" s="824"/>
      <c r="D93" s="824"/>
      <c r="E93" s="824"/>
      <c r="F93" s="824"/>
      <c r="G93" s="824"/>
      <c r="H93" s="824"/>
      <c r="I93" s="824"/>
      <c r="J93" s="824"/>
      <c r="K93" s="824"/>
      <c r="L93" s="824"/>
      <c r="M93" s="824"/>
      <c r="N93" s="824"/>
    </row>
    <row r="94" spans="1:14" x14ac:dyDescent="0.3">
      <c r="A94" s="824"/>
      <c r="B94" s="824"/>
      <c r="C94" s="824"/>
      <c r="D94" s="824"/>
      <c r="E94" s="824"/>
      <c r="F94" s="824"/>
      <c r="G94" s="824"/>
      <c r="H94" s="824"/>
      <c r="I94" s="824"/>
      <c r="J94" s="824"/>
      <c r="K94" s="824"/>
      <c r="L94" s="824"/>
      <c r="M94" s="824"/>
      <c r="N94" s="824"/>
    </row>
    <row r="95" spans="1:14" x14ac:dyDescent="0.3">
      <c r="A95" s="824"/>
      <c r="B95" s="824"/>
      <c r="C95" s="824"/>
      <c r="D95" s="824"/>
      <c r="E95" s="824"/>
      <c r="F95" s="824"/>
      <c r="G95" s="824"/>
      <c r="H95" s="824"/>
      <c r="I95" s="824"/>
      <c r="J95" s="824"/>
      <c r="K95" s="824"/>
      <c r="L95" s="824"/>
      <c r="M95" s="824"/>
      <c r="N95" s="824"/>
    </row>
    <row r="96" spans="1:14" x14ac:dyDescent="0.3">
      <c r="A96" s="824"/>
      <c r="B96" s="824"/>
      <c r="C96" s="824"/>
      <c r="D96" s="824"/>
      <c r="E96" s="824"/>
      <c r="F96" s="824"/>
      <c r="G96" s="824"/>
      <c r="H96" s="824"/>
      <c r="I96" s="824"/>
      <c r="J96" s="824"/>
      <c r="K96" s="824"/>
      <c r="L96" s="824"/>
      <c r="M96" s="824"/>
      <c r="N96" s="824"/>
    </row>
    <row r="97" spans="1:14" x14ac:dyDescent="0.3">
      <c r="A97" s="824"/>
      <c r="B97" s="824"/>
      <c r="C97" s="824"/>
      <c r="D97" s="824"/>
      <c r="E97" s="824"/>
      <c r="F97" s="824"/>
      <c r="G97" s="824"/>
      <c r="H97" s="824"/>
      <c r="I97" s="824"/>
      <c r="J97" s="824"/>
      <c r="K97" s="824"/>
      <c r="L97" s="824"/>
      <c r="M97" s="824"/>
      <c r="N97" s="824"/>
    </row>
    <row r="98" spans="1:14" x14ac:dyDescent="0.3">
      <c r="A98" s="824"/>
      <c r="B98" s="824"/>
      <c r="C98" s="824"/>
      <c r="D98" s="824"/>
      <c r="E98" s="824"/>
      <c r="F98" s="824"/>
      <c r="G98" s="824"/>
      <c r="H98" s="824"/>
      <c r="I98" s="824"/>
      <c r="J98" s="824"/>
      <c r="K98" s="824"/>
      <c r="L98" s="824"/>
      <c r="M98" s="824"/>
      <c r="N98" s="824"/>
    </row>
    <row r="99" spans="1:14" x14ac:dyDescent="0.3">
      <c r="A99" s="824"/>
      <c r="B99" s="824"/>
      <c r="C99" s="824"/>
      <c r="D99" s="824"/>
      <c r="E99" s="824"/>
      <c r="F99" s="824"/>
      <c r="G99" s="824"/>
      <c r="H99" s="824"/>
      <c r="I99" s="824"/>
      <c r="J99" s="824"/>
      <c r="K99" s="824"/>
      <c r="L99" s="824"/>
      <c r="M99" s="824"/>
      <c r="N99" s="824"/>
    </row>
    <row r="100" spans="1:14" x14ac:dyDescent="0.3">
      <c r="A100" s="824"/>
      <c r="B100" s="824"/>
      <c r="C100" s="824"/>
      <c r="D100" s="824"/>
      <c r="E100" s="824"/>
      <c r="F100" s="824"/>
      <c r="G100" s="824"/>
      <c r="H100" s="824"/>
      <c r="I100" s="824"/>
      <c r="J100" s="824"/>
      <c r="K100" s="824"/>
      <c r="L100" s="824"/>
      <c r="M100" s="824"/>
      <c r="N100" s="824"/>
    </row>
    <row r="101" spans="1:14" x14ac:dyDescent="0.3">
      <c r="A101" s="824"/>
      <c r="B101" s="824"/>
      <c r="C101" s="824"/>
      <c r="D101" s="824"/>
      <c r="E101" s="824"/>
      <c r="F101" s="824"/>
      <c r="G101" s="824"/>
      <c r="H101" s="824"/>
      <c r="I101" s="824"/>
      <c r="J101" s="824"/>
      <c r="K101" s="824"/>
      <c r="L101" s="824"/>
      <c r="M101" s="824"/>
      <c r="N101" s="824"/>
    </row>
    <row r="102" spans="1:14" x14ac:dyDescent="0.3">
      <c r="A102" s="824"/>
      <c r="B102" s="824"/>
      <c r="C102" s="824"/>
      <c r="D102" s="824"/>
      <c r="E102" s="824"/>
      <c r="F102" s="824"/>
      <c r="G102" s="824"/>
      <c r="H102" s="824"/>
      <c r="I102" s="824"/>
      <c r="J102" s="824"/>
      <c r="K102" s="824"/>
      <c r="L102" s="824"/>
      <c r="M102" s="824"/>
      <c r="N102" s="824"/>
    </row>
    <row r="103" spans="1:14" x14ac:dyDescent="0.3">
      <c r="A103" s="824"/>
      <c r="B103" s="824"/>
      <c r="C103" s="824"/>
      <c r="D103" s="824"/>
      <c r="E103" s="824"/>
      <c r="F103" s="824"/>
      <c r="G103" s="824"/>
      <c r="H103" s="824"/>
      <c r="I103" s="824"/>
      <c r="J103" s="824"/>
      <c r="K103" s="824"/>
      <c r="L103" s="824"/>
      <c r="M103" s="824"/>
      <c r="N103" s="824"/>
    </row>
    <row r="104" spans="1:14" x14ac:dyDescent="0.3">
      <c r="A104" s="824"/>
      <c r="B104" s="824"/>
      <c r="C104" s="824"/>
      <c r="D104" s="824"/>
      <c r="E104" s="824"/>
      <c r="F104" s="824"/>
      <c r="G104" s="824"/>
      <c r="H104" s="824"/>
      <c r="I104" s="824"/>
      <c r="J104" s="824"/>
      <c r="K104" s="824"/>
      <c r="L104" s="824"/>
      <c r="M104" s="824"/>
      <c r="N104" s="824"/>
    </row>
    <row r="105" spans="1:14" x14ac:dyDescent="0.3">
      <c r="A105" s="824"/>
      <c r="B105" s="824"/>
      <c r="C105" s="824"/>
      <c r="D105" s="824"/>
      <c r="E105" s="824"/>
      <c r="F105" s="824"/>
      <c r="G105" s="824"/>
      <c r="H105" s="824"/>
      <c r="I105" s="824"/>
      <c r="J105" s="824"/>
      <c r="K105" s="824"/>
      <c r="L105" s="824"/>
      <c r="M105" s="824"/>
      <c r="N105" s="824"/>
    </row>
    <row r="106" spans="1:14" x14ac:dyDescent="0.3">
      <c r="A106" s="824"/>
      <c r="B106" s="824"/>
      <c r="C106" s="824"/>
      <c r="D106" s="824"/>
      <c r="E106" s="824"/>
      <c r="F106" s="824"/>
      <c r="G106" s="824"/>
      <c r="H106" s="824"/>
      <c r="I106" s="824"/>
      <c r="J106" s="824"/>
      <c r="K106" s="824"/>
      <c r="L106" s="824"/>
      <c r="M106" s="824"/>
      <c r="N106" s="824"/>
    </row>
    <row r="107" spans="1:14" x14ac:dyDescent="0.3">
      <c r="A107" s="824"/>
      <c r="B107" s="824"/>
      <c r="C107" s="824"/>
      <c r="D107" s="824"/>
      <c r="E107" s="824"/>
      <c r="F107" s="824"/>
      <c r="G107" s="824"/>
      <c r="H107" s="824"/>
      <c r="I107" s="824"/>
      <c r="J107" s="824"/>
      <c r="K107" s="824"/>
      <c r="L107" s="824"/>
      <c r="M107" s="824"/>
      <c r="N107" s="824"/>
    </row>
    <row r="108" spans="1:14" x14ac:dyDescent="0.3">
      <c r="A108" s="824"/>
      <c r="B108" s="824"/>
      <c r="C108" s="824"/>
      <c r="D108" s="824"/>
      <c r="E108" s="824"/>
      <c r="F108" s="824"/>
      <c r="G108" s="824"/>
      <c r="H108" s="824"/>
      <c r="I108" s="824"/>
      <c r="J108" s="824"/>
      <c r="K108" s="824"/>
      <c r="L108" s="824"/>
      <c r="M108" s="824"/>
      <c r="N108" s="824"/>
    </row>
    <row r="109" spans="1:14" x14ac:dyDescent="0.3">
      <c r="A109" s="824"/>
      <c r="B109" s="824"/>
      <c r="C109" s="824"/>
      <c r="D109" s="824"/>
      <c r="E109" s="824"/>
      <c r="F109" s="824"/>
      <c r="G109" s="824"/>
      <c r="H109" s="824"/>
      <c r="I109" s="824"/>
      <c r="J109" s="824"/>
      <c r="K109" s="824"/>
      <c r="L109" s="824"/>
      <c r="M109" s="824"/>
      <c r="N109" s="824"/>
    </row>
    <row r="110" spans="1:14" x14ac:dyDescent="0.3">
      <c r="A110" s="824"/>
      <c r="B110" s="824"/>
      <c r="C110" s="824"/>
      <c r="D110" s="824"/>
      <c r="E110" s="824"/>
      <c r="F110" s="824"/>
      <c r="G110" s="824"/>
      <c r="H110" s="824"/>
      <c r="I110" s="824"/>
      <c r="J110" s="824"/>
      <c r="K110" s="824"/>
      <c r="L110" s="824"/>
      <c r="M110" s="824"/>
      <c r="N110" s="824"/>
    </row>
    <row r="111" spans="1:14" x14ac:dyDescent="0.3">
      <c r="A111" s="824"/>
      <c r="B111" s="824"/>
      <c r="C111" s="824"/>
      <c r="D111" s="824"/>
      <c r="E111" s="824"/>
      <c r="F111" s="824"/>
      <c r="G111" s="824"/>
      <c r="H111" s="824"/>
      <c r="I111" s="824"/>
      <c r="J111" s="824"/>
      <c r="K111" s="824"/>
      <c r="L111" s="824"/>
      <c r="M111" s="824"/>
      <c r="N111" s="824"/>
    </row>
    <row r="112" spans="1:14" x14ac:dyDescent="0.3">
      <c r="A112" s="824"/>
      <c r="B112" s="824"/>
      <c r="C112" s="824"/>
      <c r="D112" s="824"/>
      <c r="E112" s="824"/>
      <c r="F112" s="824"/>
      <c r="G112" s="824"/>
      <c r="H112" s="824"/>
      <c r="I112" s="824"/>
      <c r="J112" s="824"/>
      <c r="K112" s="824"/>
      <c r="L112" s="824"/>
      <c r="M112" s="824"/>
      <c r="N112" s="824"/>
    </row>
    <row r="113" spans="1:14" x14ac:dyDescent="0.3">
      <c r="A113" s="824"/>
      <c r="B113" s="824"/>
      <c r="C113" s="824"/>
      <c r="D113" s="824"/>
      <c r="E113" s="824"/>
      <c r="F113" s="824"/>
      <c r="G113" s="824"/>
      <c r="H113" s="824"/>
      <c r="I113" s="824"/>
      <c r="J113" s="824"/>
      <c r="K113" s="824"/>
      <c r="L113" s="824"/>
      <c r="M113" s="824"/>
      <c r="N113" s="824"/>
    </row>
    <row r="114" spans="1:14" x14ac:dyDescent="0.3">
      <c r="A114" s="824"/>
      <c r="B114" s="824"/>
      <c r="C114" s="824"/>
      <c r="D114" s="824"/>
      <c r="E114" s="824"/>
      <c r="F114" s="824"/>
      <c r="G114" s="824"/>
      <c r="H114" s="824"/>
      <c r="I114" s="824"/>
      <c r="J114" s="824"/>
      <c r="K114" s="824"/>
      <c r="L114" s="824"/>
      <c r="M114" s="824"/>
      <c r="N114" s="824"/>
    </row>
    <row r="115" spans="1:14" x14ac:dyDescent="0.3">
      <c r="A115" s="824"/>
      <c r="B115" s="824"/>
      <c r="C115" s="824"/>
      <c r="D115" s="824"/>
      <c r="E115" s="824"/>
      <c r="F115" s="824"/>
      <c r="G115" s="824"/>
      <c r="H115" s="824"/>
      <c r="I115" s="824"/>
      <c r="J115" s="824"/>
      <c r="K115" s="824"/>
      <c r="L115" s="824"/>
      <c r="M115" s="824"/>
      <c r="N115" s="824"/>
    </row>
    <row r="116" spans="1:14" x14ac:dyDescent="0.3">
      <c r="A116" s="824"/>
      <c r="B116" s="824"/>
      <c r="C116" s="824"/>
      <c r="D116" s="824"/>
      <c r="E116" s="824"/>
      <c r="F116" s="824"/>
      <c r="G116" s="824"/>
      <c r="H116" s="824"/>
      <c r="I116" s="824"/>
      <c r="J116" s="824"/>
      <c r="K116" s="824"/>
      <c r="L116" s="824"/>
      <c r="M116" s="824"/>
      <c r="N116" s="824"/>
    </row>
    <row r="117" spans="1:14" x14ac:dyDescent="0.3">
      <c r="A117" s="824"/>
      <c r="B117" s="824"/>
      <c r="C117" s="824"/>
      <c r="D117" s="824"/>
      <c r="E117" s="824"/>
      <c r="F117" s="824"/>
      <c r="G117" s="824"/>
      <c r="H117" s="824"/>
      <c r="I117" s="824"/>
      <c r="J117" s="824"/>
      <c r="K117" s="824"/>
      <c r="L117" s="824"/>
      <c r="M117" s="824"/>
      <c r="N117" s="824"/>
    </row>
    <row r="118" spans="1:14" x14ac:dyDescent="0.3">
      <c r="A118" s="824"/>
      <c r="B118" s="824"/>
      <c r="C118" s="824"/>
      <c r="D118" s="824"/>
      <c r="E118" s="824"/>
      <c r="F118" s="824"/>
      <c r="G118" s="824"/>
      <c r="H118" s="824"/>
      <c r="I118" s="824"/>
      <c r="J118" s="824"/>
      <c r="K118" s="824"/>
      <c r="L118" s="824"/>
      <c r="M118" s="824"/>
      <c r="N118" s="824"/>
    </row>
    <row r="119" spans="1:14" x14ac:dyDescent="0.3">
      <c r="A119" s="824"/>
      <c r="B119" s="824"/>
      <c r="C119" s="824"/>
      <c r="D119" s="824"/>
      <c r="E119" s="824"/>
      <c r="F119" s="824"/>
      <c r="G119" s="824"/>
      <c r="H119" s="824"/>
      <c r="I119" s="824"/>
      <c r="J119" s="824"/>
      <c r="K119" s="824"/>
      <c r="L119" s="824"/>
      <c r="M119" s="824"/>
      <c r="N119" s="824"/>
    </row>
    <row r="120" spans="1:14" x14ac:dyDescent="0.3">
      <c r="A120" s="824"/>
      <c r="B120" s="824"/>
      <c r="C120" s="824"/>
      <c r="D120" s="824"/>
      <c r="E120" s="824"/>
      <c r="F120" s="824"/>
      <c r="G120" s="824"/>
      <c r="H120" s="824"/>
      <c r="I120" s="824"/>
      <c r="J120" s="824"/>
      <c r="K120" s="824"/>
      <c r="L120" s="824"/>
      <c r="M120" s="824"/>
      <c r="N120" s="824"/>
    </row>
    <row r="121" spans="1:14" x14ac:dyDescent="0.3">
      <c r="A121" s="824"/>
      <c r="B121" s="824"/>
      <c r="C121" s="824"/>
      <c r="D121" s="824"/>
      <c r="E121" s="824"/>
      <c r="F121" s="824"/>
      <c r="G121" s="824"/>
      <c r="H121" s="824"/>
      <c r="I121" s="824"/>
      <c r="J121" s="824"/>
      <c r="K121" s="824"/>
      <c r="L121" s="824"/>
      <c r="M121" s="824"/>
      <c r="N121" s="824"/>
    </row>
    <row r="122" spans="1:14" x14ac:dyDescent="0.3">
      <c r="A122" s="824"/>
      <c r="B122" s="824"/>
      <c r="C122" s="824"/>
      <c r="D122" s="824"/>
      <c r="E122" s="824"/>
      <c r="F122" s="824"/>
      <c r="G122" s="824"/>
      <c r="H122" s="824"/>
      <c r="I122" s="824"/>
      <c r="J122" s="824"/>
      <c r="K122" s="824"/>
      <c r="L122" s="824"/>
      <c r="M122" s="824"/>
      <c r="N122" s="824"/>
    </row>
    <row r="123" spans="1:14" x14ac:dyDescent="0.3">
      <c r="A123" s="824"/>
      <c r="B123" s="824"/>
      <c r="C123" s="824"/>
      <c r="D123" s="824"/>
      <c r="E123" s="824"/>
      <c r="F123" s="824"/>
      <c r="G123" s="824"/>
      <c r="H123" s="824"/>
      <c r="I123" s="824"/>
      <c r="J123" s="824"/>
      <c r="K123" s="824"/>
      <c r="L123" s="824"/>
      <c r="M123" s="824"/>
      <c r="N123" s="824"/>
    </row>
    <row r="124" spans="1:14" x14ac:dyDescent="0.3">
      <c r="A124" s="824"/>
      <c r="B124" s="824"/>
      <c r="C124" s="824"/>
      <c r="D124" s="824"/>
      <c r="E124" s="824"/>
      <c r="F124" s="824"/>
      <c r="G124" s="824"/>
      <c r="H124" s="824"/>
      <c r="I124" s="824"/>
      <c r="J124" s="824"/>
      <c r="K124" s="824"/>
      <c r="L124" s="824"/>
      <c r="M124" s="824"/>
      <c r="N124" s="824"/>
    </row>
    <row r="125" spans="1:14" x14ac:dyDescent="0.3">
      <c r="A125" s="824"/>
      <c r="B125" s="824"/>
      <c r="C125" s="824"/>
      <c r="D125" s="824"/>
      <c r="E125" s="824"/>
      <c r="F125" s="824"/>
      <c r="G125" s="824"/>
      <c r="H125" s="824"/>
      <c r="I125" s="824"/>
      <c r="J125" s="824"/>
      <c r="K125" s="824"/>
      <c r="L125" s="824"/>
      <c r="M125" s="824"/>
      <c r="N125" s="824"/>
    </row>
    <row r="126" spans="1:14" x14ac:dyDescent="0.3">
      <c r="A126" s="824"/>
      <c r="B126" s="824"/>
      <c r="C126" s="824"/>
      <c r="D126" s="824"/>
      <c r="E126" s="824"/>
      <c r="F126" s="824"/>
      <c r="G126" s="824"/>
      <c r="H126" s="824"/>
      <c r="I126" s="824"/>
      <c r="J126" s="824"/>
      <c r="K126" s="824"/>
      <c r="L126" s="824"/>
      <c r="M126" s="824"/>
      <c r="N126" s="824"/>
    </row>
    <row r="127" spans="1:14" x14ac:dyDescent="0.3">
      <c r="A127" s="824"/>
      <c r="B127" s="824"/>
      <c r="C127" s="824"/>
      <c r="D127" s="824"/>
      <c r="E127" s="824"/>
      <c r="F127" s="824"/>
      <c r="G127" s="824"/>
      <c r="H127" s="824"/>
      <c r="I127" s="824"/>
      <c r="J127" s="824"/>
      <c r="K127" s="824"/>
      <c r="L127" s="824"/>
      <c r="M127" s="824"/>
      <c r="N127" s="824"/>
    </row>
    <row r="128" spans="1:14" x14ac:dyDescent="0.3">
      <c r="A128" s="824"/>
      <c r="B128" s="824"/>
      <c r="C128" s="824"/>
      <c r="D128" s="824"/>
      <c r="E128" s="824"/>
      <c r="F128" s="824"/>
      <c r="G128" s="824"/>
      <c r="H128" s="824"/>
      <c r="I128" s="824"/>
      <c r="J128" s="824"/>
      <c r="K128" s="824"/>
      <c r="L128" s="824"/>
      <c r="M128" s="824"/>
      <c r="N128" s="824"/>
    </row>
    <row r="129" spans="1:14" x14ac:dyDescent="0.3">
      <c r="A129" s="824"/>
      <c r="B129" s="824"/>
      <c r="C129" s="824"/>
      <c r="D129" s="824"/>
      <c r="E129" s="824"/>
      <c r="F129" s="824"/>
      <c r="G129" s="824"/>
      <c r="H129" s="824"/>
      <c r="I129" s="824"/>
      <c r="J129" s="824"/>
      <c r="K129" s="824"/>
      <c r="L129" s="824"/>
      <c r="M129" s="824"/>
      <c r="N129" s="824"/>
    </row>
    <row r="130" spans="1:14" x14ac:dyDescent="0.3">
      <c r="A130" s="824"/>
      <c r="B130" s="824"/>
      <c r="C130" s="824"/>
      <c r="D130" s="824"/>
      <c r="E130" s="824"/>
      <c r="F130" s="824"/>
      <c r="G130" s="824"/>
      <c r="H130" s="824"/>
      <c r="I130" s="824"/>
      <c r="J130" s="824"/>
      <c r="K130" s="824"/>
      <c r="L130" s="824"/>
      <c r="M130" s="824"/>
      <c r="N130" s="824"/>
    </row>
    <row r="131" spans="1:14" x14ac:dyDescent="0.3">
      <c r="A131" s="824"/>
      <c r="B131" s="824"/>
      <c r="C131" s="824"/>
      <c r="D131" s="824"/>
      <c r="E131" s="824"/>
      <c r="F131" s="824"/>
      <c r="G131" s="824"/>
      <c r="H131" s="824"/>
      <c r="I131" s="824"/>
      <c r="J131" s="824"/>
      <c r="K131" s="824"/>
      <c r="L131" s="824"/>
      <c r="M131" s="824"/>
      <c r="N131" s="824"/>
    </row>
    <row r="132" spans="1:14" x14ac:dyDescent="0.3">
      <c r="A132" s="824"/>
      <c r="B132" s="824"/>
      <c r="C132" s="824"/>
      <c r="D132" s="824"/>
      <c r="E132" s="824"/>
      <c r="F132" s="824"/>
      <c r="G132" s="824"/>
      <c r="H132" s="824"/>
      <c r="I132" s="824"/>
      <c r="J132" s="824"/>
      <c r="K132" s="824"/>
      <c r="L132" s="824"/>
      <c r="M132" s="824"/>
      <c r="N132" s="824"/>
    </row>
    <row r="133" spans="1:14" x14ac:dyDescent="0.3">
      <c r="A133" s="824"/>
      <c r="B133" s="824"/>
      <c r="C133" s="824"/>
      <c r="D133" s="824"/>
      <c r="E133" s="824"/>
      <c r="F133" s="824"/>
      <c r="G133" s="824"/>
      <c r="H133" s="824"/>
      <c r="I133" s="824"/>
      <c r="J133" s="824"/>
      <c r="K133" s="824"/>
      <c r="L133" s="824"/>
      <c r="M133" s="824"/>
      <c r="N133" s="824"/>
    </row>
    <row r="134" spans="1:14" x14ac:dyDescent="0.3">
      <c r="A134" s="824"/>
      <c r="B134" s="824"/>
      <c r="C134" s="824"/>
      <c r="D134" s="824"/>
      <c r="E134" s="824"/>
      <c r="F134" s="824"/>
      <c r="G134" s="824"/>
      <c r="H134" s="824"/>
      <c r="I134" s="824"/>
      <c r="J134" s="824"/>
      <c r="K134" s="824"/>
      <c r="L134" s="824"/>
      <c r="M134" s="824"/>
      <c r="N134" s="824"/>
    </row>
    <row r="135" spans="1:14" x14ac:dyDescent="0.3">
      <c r="A135" s="824"/>
      <c r="B135" s="824"/>
      <c r="C135" s="824"/>
      <c r="D135" s="824"/>
      <c r="E135" s="824"/>
      <c r="F135" s="824"/>
      <c r="G135" s="824"/>
      <c r="H135" s="824"/>
      <c r="I135" s="824"/>
      <c r="J135" s="824"/>
      <c r="K135" s="824"/>
      <c r="L135" s="824"/>
      <c r="M135" s="824"/>
      <c r="N135" s="824"/>
    </row>
    <row r="136" spans="1:14" x14ac:dyDescent="0.3">
      <c r="A136" s="824"/>
      <c r="B136" s="824"/>
      <c r="C136" s="824"/>
      <c r="D136" s="824"/>
      <c r="E136" s="824"/>
      <c r="F136" s="824"/>
      <c r="G136" s="824"/>
      <c r="H136" s="824"/>
      <c r="I136" s="824"/>
      <c r="J136" s="824"/>
      <c r="K136" s="824"/>
      <c r="L136" s="824"/>
      <c r="M136" s="824"/>
      <c r="N136" s="824"/>
    </row>
    <row r="137" spans="1:14" x14ac:dyDescent="0.3">
      <c r="A137" s="824"/>
      <c r="B137" s="824"/>
      <c r="C137" s="824"/>
      <c r="D137" s="824"/>
      <c r="E137" s="824"/>
      <c r="F137" s="824"/>
      <c r="G137" s="824"/>
      <c r="H137" s="824"/>
      <c r="I137" s="824"/>
      <c r="J137" s="824"/>
      <c r="K137" s="824"/>
      <c r="L137" s="824"/>
      <c r="M137" s="824"/>
      <c r="N137" s="824"/>
    </row>
    <row r="138" spans="1:14" x14ac:dyDescent="0.3">
      <c r="A138" s="824"/>
      <c r="B138" s="824"/>
      <c r="C138" s="824"/>
      <c r="D138" s="824"/>
      <c r="E138" s="824"/>
      <c r="F138" s="824"/>
      <c r="G138" s="824"/>
      <c r="H138" s="824"/>
      <c r="I138" s="824"/>
      <c r="J138" s="824"/>
      <c r="K138" s="824"/>
      <c r="L138" s="824"/>
      <c r="M138" s="824"/>
      <c r="N138" s="824"/>
    </row>
    <row r="139" spans="1:14" x14ac:dyDescent="0.3">
      <c r="A139" s="824"/>
      <c r="B139" s="824"/>
      <c r="C139" s="824"/>
      <c r="D139" s="824"/>
      <c r="E139" s="824"/>
      <c r="F139" s="824"/>
      <c r="G139" s="824"/>
      <c r="H139" s="824"/>
      <c r="I139" s="824"/>
      <c r="J139" s="824"/>
      <c r="K139" s="824"/>
      <c r="L139" s="824"/>
      <c r="M139" s="824"/>
      <c r="N139" s="824"/>
    </row>
    <row r="140" spans="1:14" x14ac:dyDescent="0.3">
      <c r="A140" s="824"/>
      <c r="B140" s="824"/>
      <c r="C140" s="824"/>
      <c r="D140" s="824"/>
      <c r="E140" s="824"/>
      <c r="F140" s="824"/>
      <c r="G140" s="824"/>
      <c r="H140" s="824"/>
      <c r="I140" s="824"/>
      <c r="J140" s="824"/>
      <c r="K140" s="824"/>
      <c r="L140" s="824"/>
      <c r="M140" s="824"/>
      <c r="N140" s="824"/>
    </row>
    <row r="141" spans="1:14" x14ac:dyDescent="0.3">
      <c r="A141" s="824"/>
      <c r="B141" s="824"/>
      <c r="C141" s="824"/>
      <c r="D141" s="824"/>
      <c r="E141" s="824"/>
      <c r="F141" s="824"/>
      <c r="G141" s="824"/>
      <c r="H141" s="824"/>
      <c r="I141" s="824"/>
      <c r="J141" s="824"/>
      <c r="K141" s="824"/>
      <c r="L141" s="824"/>
      <c r="M141" s="824"/>
      <c r="N141" s="824"/>
    </row>
    <row r="142" spans="1:14" x14ac:dyDescent="0.3">
      <c r="A142" s="824"/>
      <c r="B142" s="824"/>
      <c r="C142" s="824"/>
      <c r="D142" s="824"/>
      <c r="E142" s="824"/>
      <c r="F142" s="824"/>
      <c r="G142" s="824"/>
      <c r="H142" s="824"/>
      <c r="I142" s="824"/>
      <c r="J142" s="824"/>
      <c r="K142" s="824"/>
      <c r="L142" s="824"/>
      <c r="M142" s="824"/>
      <c r="N142" s="824"/>
    </row>
    <row r="143" spans="1:14" x14ac:dyDescent="0.3">
      <c r="A143" s="824"/>
      <c r="B143" s="824"/>
      <c r="C143" s="824"/>
      <c r="D143" s="824"/>
      <c r="E143" s="824"/>
      <c r="F143" s="824"/>
      <c r="G143" s="824"/>
      <c r="H143" s="824"/>
      <c r="I143" s="824"/>
      <c r="J143" s="824"/>
      <c r="K143" s="824"/>
      <c r="L143" s="824"/>
      <c r="M143" s="824"/>
      <c r="N143" s="824"/>
    </row>
    <row r="144" spans="1:14" x14ac:dyDescent="0.3">
      <c r="A144" s="824"/>
      <c r="B144" s="824"/>
      <c r="C144" s="824"/>
      <c r="D144" s="824"/>
      <c r="E144" s="824"/>
      <c r="F144" s="824"/>
      <c r="G144" s="824"/>
      <c r="H144" s="824"/>
      <c r="I144" s="824"/>
      <c r="J144" s="824"/>
      <c r="K144" s="824"/>
      <c r="L144" s="824"/>
      <c r="M144" s="824"/>
      <c r="N144" s="824"/>
    </row>
    <row r="145" spans="1:14" x14ac:dyDescent="0.3">
      <c r="A145" s="824"/>
      <c r="B145" s="824"/>
      <c r="C145" s="824"/>
      <c r="D145" s="824"/>
      <c r="E145" s="824"/>
      <c r="F145" s="824"/>
      <c r="G145" s="824"/>
      <c r="H145" s="824"/>
      <c r="I145" s="824"/>
      <c r="J145" s="824"/>
      <c r="K145" s="824"/>
      <c r="L145" s="824"/>
      <c r="M145" s="824"/>
      <c r="N145" s="824"/>
    </row>
    <row r="146" spans="1:14" x14ac:dyDescent="0.3">
      <c r="A146" s="824"/>
      <c r="B146" s="824"/>
      <c r="C146" s="824"/>
      <c r="D146" s="824"/>
      <c r="E146" s="824"/>
      <c r="F146" s="824"/>
      <c r="G146" s="824"/>
      <c r="H146" s="824"/>
      <c r="I146" s="824"/>
      <c r="J146" s="824"/>
      <c r="K146" s="824"/>
      <c r="L146" s="824"/>
      <c r="M146" s="824"/>
      <c r="N146" s="824"/>
    </row>
    <row r="147" spans="1:14" x14ac:dyDescent="0.3">
      <c r="A147" s="824"/>
      <c r="B147" s="824"/>
      <c r="C147" s="824"/>
      <c r="D147" s="824"/>
      <c r="E147" s="824"/>
      <c r="F147" s="824"/>
      <c r="G147" s="824"/>
      <c r="H147" s="824"/>
      <c r="I147" s="824"/>
      <c r="J147" s="824"/>
      <c r="K147" s="824"/>
      <c r="L147" s="824"/>
      <c r="M147" s="824"/>
      <c r="N147" s="824"/>
    </row>
    <row r="148" spans="1:14" x14ac:dyDescent="0.3">
      <c r="A148" s="824"/>
      <c r="B148" s="824"/>
      <c r="C148" s="824"/>
      <c r="D148" s="824"/>
      <c r="E148" s="824"/>
      <c r="F148" s="824"/>
      <c r="G148" s="824"/>
      <c r="H148" s="824"/>
      <c r="I148" s="824"/>
      <c r="J148" s="824"/>
      <c r="K148" s="824"/>
      <c r="L148" s="824"/>
      <c r="M148" s="824"/>
      <c r="N148" s="824"/>
    </row>
    <row r="149" spans="1:14" x14ac:dyDescent="0.3">
      <c r="A149" s="824"/>
      <c r="B149" s="824"/>
      <c r="C149" s="824"/>
      <c r="D149" s="824"/>
      <c r="E149" s="824"/>
      <c r="F149" s="824"/>
      <c r="G149" s="824"/>
      <c r="H149" s="824"/>
      <c r="I149" s="824"/>
      <c r="J149" s="824"/>
      <c r="K149" s="824"/>
      <c r="L149" s="824"/>
      <c r="M149" s="824"/>
      <c r="N149" s="824"/>
    </row>
    <row r="150" spans="1:14" x14ac:dyDescent="0.3">
      <c r="A150" s="824"/>
      <c r="B150" s="824"/>
      <c r="C150" s="824"/>
      <c r="D150" s="824"/>
      <c r="E150" s="824"/>
      <c r="F150" s="824"/>
      <c r="G150" s="824"/>
      <c r="H150" s="824"/>
      <c r="I150" s="824"/>
      <c r="J150" s="824"/>
      <c r="K150" s="824"/>
      <c r="L150" s="824"/>
      <c r="M150" s="824"/>
      <c r="N150" s="824"/>
    </row>
    <row r="151" spans="1:14" x14ac:dyDescent="0.3">
      <c r="A151" s="824"/>
      <c r="B151" s="824"/>
      <c r="C151" s="824"/>
      <c r="D151" s="824"/>
      <c r="E151" s="824"/>
      <c r="F151" s="824"/>
      <c r="G151" s="824"/>
      <c r="H151" s="824"/>
      <c r="I151" s="824"/>
      <c r="J151" s="824"/>
      <c r="K151" s="824"/>
      <c r="L151" s="824"/>
      <c r="M151" s="824"/>
      <c r="N151" s="824"/>
    </row>
    <row r="152" spans="1:14" x14ac:dyDescent="0.3">
      <c r="A152" s="824"/>
      <c r="B152" s="824"/>
      <c r="C152" s="824"/>
      <c r="D152" s="824"/>
      <c r="E152" s="824"/>
      <c r="F152" s="824"/>
      <c r="G152" s="824"/>
      <c r="H152" s="824"/>
      <c r="I152" s="824"/>
      <c r="J152" s="824"/>
      <c r="K152" s="824"/>
      <c r="L152" s="824"/>
      <c r="M152" s="824"/>
      <c r="N152" s="824"/>
    </row>
    <row r="153" spans="1:14" x14ac:dyDescent="0.3">
      <c r="A153" s="824"/>
      <c r="B153" s="824"/>
      <c r="C153" s="824"/>
      <c r="D153" s="824"/>
      <c r="E153" s="824"/>
      <c r="F153" s="824"/>
      <c r="G153" s="824"/>
      <c r="H153" s="824"/>
      <c r="I153" s="824"/>
      <c r="J153" s="824"/>
      <c r="K153" s="824"/>
      <c r="L153" s="824"/>
      <c r="M153" s="824"/>
      <c r="N153" s="824"/>
    </row>
    <row r="154" spans="1:14" x14ac:dyDescent="0.3">
      <c r="A154" s="824"/>
      <c r="B154" s="824"/>
      <c r="C154" s="824"/>
      <c r="D154" s="824"/>
      <c r="E154" s="824"/>
      <c r="F154" s="824"/>
      <c r="G154" s="824"/>
      <c r="H154" s="824"/>
      <c r="I154" s="824"/>
      <c r="J154" s="824"/>
      <c r="K154" s="824"/>
      <c r="L154" s="824"/>
      <c r="M154" s="824"/>
      <c r="N154" s="824"/>
    </row>
    <row r="155" spans="1:14" x14ac:dyDescent="0.3">
      <c r="A155" s="824"/>
      <c r="B155" s="824"/>
      <c r="C155" s="824"/>
      <c r="D155" s="824"/>
      <c r="E155" s="824"/>
      <c r="F155" s="824"/>
      <c r="G155" s="824"/>
      <c r="H155" s="824"/>
      <c r="I155" s="824"/>
      <c r="J155" s="824"/>
      <c r="K155" s="824"/>
      <c r="L155" s="824"/>
      <c r="M155" s="824"/>
      <c r="N155" s="824"/>
    </row>
    <row r="156" spans="1:14" x14ac:dyDescent="0.3">
      <c r="A156" s="824"/>
      <c r="B156" s="824"/>
      <c r="C156" s="824"/>
      <c r="D156" s="824"/>
      <c r="E156" s="824"/>
      <c r="F156" s="824"/>
      <c r="G156" s="824"/>
      <c r="H156" s="824"/>
      <c r="I156" s="824"/>
      <c r="J156" s="824"/>
      <c r="K156" s="824"/>
      <c r="L156" s="824"/>
      <c r="M156" s="824"/>
      <c r="N156" s="824"/>
    </row>
    <row r="157" spans="1:14" x14ac:dyDescent="0.3">
      <c r="A157" s="824"/>
      <c r="B157" s="824"/>
      <c r="C157" s="824"/>
      <c r="D157" s="824"/>
      <c r="E157" s="824"/>
      <c r="F157" s="824"/>
      <c r="G157" s="824"/>
      <c r="H157" s="824"/>
      <c r="I157" s="824"/>
      <c r="J157" s="824"/>
      <c r="K157" s="824"/>
      <c r="L157" s="824"/>
      <c r="M157" s="824"/>
      <c r="N157" s="824"/>
    </row>
    <row r="158" spans="1:14" x14ac:dyDescent="0.3">
      <c r="A158" s="824"/>
      <c r="B158" s="824"/>
      <c r="C158" s="824"/>
      <c r="D158" s="824"/>
      <c r="E158" s="824"/>
      <c r="F158" s="824"/>
      <c r="G158" s="824"/>
      <c r="H158" s="824"/>
      <c r="I158" s="824"/>
      <c r="J158" s="824"/>
      <c r="K158" s="824"/>
      <c r="L158" s="824"/>
      <c r="M158" s="824"/>
      <c r="N158" s="824"/>
    </row>
    <row r="159" spans="1:14" x14ac:dyDescent="0.3">
      <c r="A159" s="824"/>
      <c r="B159" s="824"/>
      <c r="C159" s="824"/>
      <c r="D159" s="824"/>
      <c r="E159" s="824"/>
      <c r="F159" s="824"/>
      <c r="G159" s="824"/>
      <c r="H159" s="824"/>
      <c r="I159" s="824"/>
      <c r="J159" s="824"/>
      <c r="K159" s="824"/>
      <c r="L159" s="824"/>
      <c r="M159" s="824"/>
      <c r="N159" s="824"/>
    </row>
    <row r="160" spans="1:14" x14ac:dyDescent="0.3">
      <c r="A160" s="824"/>
      <c r="B160" s="824"/>
      <c r="C160" s="824"/>
      <c r="D160" s="824"/>
      <c r="E160" s="824"/>
      <c r="F160" s="824"/>
      <c r="G160" s="824"/>
      <c r="H160" s="824"/>
      <c r="I160" s="824"/>
      <c r="J160" s="824"/>
      <c r="K160" s="824"/>
      <c r="L160" s="824"/>
      <c r="M160" s="824"/>
      <c r="N160" s="824"/>
    </row>
    <row r="161" spans="1:14" x14ac:dyDescent="0.3">
      <c r="A161" s="824"/>
      <c r="B161" s="824"/>
      <c r="C161" s="824"/>
      <c r="D161" s="824"/>
      <c r="E161" s="824"/>
      <c r="F161" s="824"/>
      <c r="G161" s="824"/>
      <c r="H161" s="824"/>
      <c r="I161" s="824"/>
      <c r="J161" s="824"/>
      <c r="K161" s="824"/>
      <c r="L161" s="824"/>
      <c r="M161" s="824"/>
      <c r="N161" s="824"/>
    </row>
    <row r="162" spans="1:14" x14ac:dyDescent="0.3">
      <c r="A162" s="824"/>
      <c r="B162" s="824"/>
      <c r="C162" s="824"/>
      <c r="D162" s="824"/>
      <c r="E162" s="824"/>
      <c r="F162" s="824"/>
      <c r="G162" s="824"/>
      <c r="H162" s="824"/>
      <c r="I162" s="824"/>
      <c r="J162" s="824"/>
      <c r="K162" s="824"/>
      <c r="L162" s="824"/>
      <c r="M162" s="824"/>
      <c r="N162" s="824"/>
    </row>
    <row r="163" spans="1:14" x14ac:dyDescent="0.3">
      <c r="A163" s="824"/>
      <c r="B163" s="824"/>
      <c r="C163" s="824"/>
      <c r="D163" s="824"/>
      <c r="E163" s="824"/>
      <c r="F163" s="824"/>
      <c r="G163" s="824"/>
      <c r="H163" s="824"/>
      <c r="I163" s="824"/>
      <c r="J163" s="824"/>
      <c r="K163" s="824"/>
      <c r="L163" s="824"/>
      <c r="M163" s="824"/>
      <c r="N163" s="824"/>
    </row>
    <row r="164" spans="1:14" x14ac:dyDescent="0.3">
      <c r="A164" s="824"/>
      <c r="B164" s="824"/>
      <c r="C164" s="824"/>
      <c r="D164" s="824"/>
      <c r="E164" s="824"/>
      <c r="F164" s="824"/>
      <c r="G164" s="824"/>
      <c r="H164" s="824"/>
      <c r="I164" s="824"/>
      <c r="J164" s="824"/>
      <c r="K164" s="824"/>
      <c r="L164" s="824"/>
      <c r="M164" s="824"/>
      <c r="N164" s="824"/>
    </row>
    <row r="165" spans="1:14" x14ac:dyDescent="0.3">
      <c r="A165" s="824"/>
      <c r="B165" s="824"/>
      <c r="C165" s="824"/>
      <c r="D165" s="824"/>
      <c r="E165" s="824"/>
      <c r="F165" s="824"/>
      <c r="G165" s="824"/>
      <c r="H165" s="824"/>
      <c r="I165" s="824"/>
      <c r="J165" s="824"/>
      <c r="K165" s="824"/>
      <c r="L165" s="824"/>
      <c r="M165" s="824"/>
      <c r="N165" s="824"/>
    </row>
    <row r="166" spans="1:14" x14ac:dyDescent="0.3">
      <c r="A166" s="824"/>
      <c r="B166" s="824"/>
      <c r="C166" s="824"/>
      <c r="D166" s="824"/>
      <c r="E166" s="824"/>
      <c r="F166" s="824"/>
      <c r="G166" s="824"/>
      <c r="H166" s="824"/>
      <c r="I166" s="824"/>
      <c r="J166" s="824"/>
      <c r="K166" s="824"/>
      <c r="L166" s="824"/>
      <c r="M166" s="824"/>
      <c r="N166" s="824"/>
    </row>
    <row r="167" spans="1:14" x14ac:dyDescent="0.3">
      <c r="A167" s="824"/>
      <c r="B167" s="824"/>
      <c r="C167" s="824"/>
      <c r="D167" s="824"/>
      <c r="E167" s="824"/>
      <c r="F167" s="824"/>
      <c r="G167" s="824"/>
      <c r="H167" s="824"/>
      <c r="I167" s="824"/>
      <c r="J167" s="824"/>
      <c r="K167" s="824"/>
      <c r="L167" s="824"/>
      <c r="M167" s="824"/>
      <c r="N167" s="824"/>
    </row>
    <row r="168" spans="1:14" x14ac:dyDescent="0.3">
      <c r="A168" s="824"/>
      <c r="B168" s="824"/>
      <c r="C168" s="824"/>
      <c r="D168" s="824"/>
      <c r="E168" s="824"/>
      <c r="F168" s="824"/>
      <c r="G168" s="824"/>
      <c r="H168" s="824"/>
      <c r="I168" s="824"/>
      <c r="J168" s="824"/>
      <c r="K168" s="824"/>
      <c r="L168" s="824"/>
      <c r="M168" s="824"/>
      <c r="N168" s="824"/>
    </row>
    <row r="169" spans="1:14" x14ac:dyDescent="0.3">
      <c r="A169" s="824"/>
      <c r="B169" s="824"/>
      <c r="C169" s="824"/>
      <c r="D169" s="824"/>
      <c r="E169" s="824"/>
      <c r="F169" s="824"/>
      <c r="G169" s="824"/>
      <c r="H169" s="824"/>
      <c r="I169" s="824"/>
      <c r="J169" s="824"/>
      <c r="K169" s="824"/>
      <c r="L169" s="824"/>
      <c r="M169" s="824"/>
      <c r="N169" s="824"/>
    </row>
    <row r="170" spans="1:14" x14ac:dyDescent="0.3">
      <c r="A170" s="824"/>
      <c r="B170" s="824"/>
      <c r="C170" s="824"/>
      <c r="D170" s="824"/>
      <c r="E170" s="824"/>
      <c r="F170" s="824"/>
      <c r="G170" s="824"/>
      <c r="H170" s="824"/>
      <c r="I170" s="824"/>
      <c r="J170" s="824"/>
      <c r="K170" s="824"/>
      <c r="L170" s="824"/>
      <c r="M170" s="824"/>
      <c r="N170" s="824"/>
    </row>
    <row r="171" spans="1:14" x14ac:dyDescent="0.3">
      <c r="A171" s="824"/>
      <c r="B171" s="824"/>
      <c r="C171" s="824"/>
      <c r="D171" s="824"/>
      <c r="E171" s="824"/>
      <c r="F171" s="824"/>
      <c r="G171" s="824"/>
      <c r="H171" s="824"/>
      <c r="I171" s="824"/>
      <c r="J171" s="824"/>
      <c r="K171" s="824"/>
      <c r="L171" s="824"/>
      <c r="M171" s="824"/>
      <c r="N171" s="824"/>
    </row>
    <row r="172" spans="1:14" x14ac:dyDescent="0.3">
      <c r="A172" s="824"/>
      <c r="B172" s="824"/>
      <c r="C172" s="824"/>
      <c r="D172" s="824"/>
      <c r="E172" s="824"/>
      <c r="F172" s="824"/>
      <c r="G172" s="824"/>
      <c r="H172" s="824"/>
      <c r="I172" s="824"/>
      <c r="J172" s="824"/>
      <c r="K172" s="824"/>
      <c r="L172" s="824"/>
      <c r="M172" s="824"/>
      <c r="N172" s="824"/>
    </row>
    <row r="173" spans="1:14" x14ac:dyDescent="0.3">
      <c r="A173" s="824"/>
      <c r="B173" s="824"/>
      <c r="C173" s="824"/>
      <c r="D173" s="824"/>
      <c r="E173" s="824"/>
      <c r="F173" s="824"/>
      <c r="G173" s="824"/>
      <c r="H173" s="824"/>
      <c r="I173" s="824"/>
      <c r="J173" s="824"/>
      <c r="K173" s="824"/>
      <c r="L173" s="824"/>
      <c r="M173" s="824"/>
      <c r="N173" s="824"/>
    </row>
    <row r="174" spans="1:14" x14ac:dyDescent="0.3">
      <c r="A174" s="824"/>
      <c r="B174" s="824"/>
      <c r="C174" s="824"/>
      <c r="D174" s="824"/>
      <c r="E174" s="824"/>
      <c r="F174" s="824"/>
      <c r="G174" s="824"/>
      <c r="H174" s="824"/>
      <c r="I174" s="824"/>
      <c r="J174" s="824"/>
      <c r="K174" s="824"/>
      <c r="L174" s="824"/>
      <c r="M174" s="824"/>
      <c r="N174" s="824"/>
    </row>
    <row r="175" spans="1:14" x14ac:dyDescent="0.3">
      <c r="A175" s="824"/>
      <c r="B175" s="824"/>
      <c r="C175" s="824"/>
      <c r="D175" s="824"/>
      <c r="E175" s="824"/>
      <c r="F175" s="824"/>
      <c r="G175" s="824"/>
      <c r="H175" s="824"/>
      <c r="I175" s="824"/>
      <c r="J175" s="824"/>
      <c r="K175" s="824"/>
      <c r="L175" s="824"/>
      <c r="M175" s="824"/>
      <c r="N175" s="824"/>
    </row>
    <row r="176" spans="1:14" x14ac:dyDescent="0.3">
      <c r="A176" s="824"/>
      <c r="B176" s="824"/>
      <c r="C176" s="824"/>
      <c r="D176" s="824"/>
      <c r="E176" s="824"/>
      <c r="F176" s="824"/>
      <c r="G176" s="824"/>
      <c r="H176" s="824"/>
      <c r="I176" s="824"/>
      <c r="J176" s="824"/>
      <c r="K176" s="824"/>
      <c r="L176" s="824"/>
      <c r="M176" s="824"/>
      <c r="N176" s="824"/>
    </row>
    <row r="177" spans="1:14" x14ac:dyDescent="0.3">
      <c r="A177" s="824"/>
      <c r="B177" s="824"/>
      <c r="C177" s="824"/>
      <c r="D177" s="824"/>
      <c r="E177" s="824"/>
      <c r="F177" s="824"/>
      <c r="G177" s="824"/>
      <c r="H177" s="824"/>
      <c r="I177" s="824"/>
      <c r="J177" s="824"/>
      <c r="K177" s="824"/>
      <c r="L177" s="824"/>
      <c r="M177" s="824"/>
      <c r="N177" s="824"/>
    </row>
    <row r="178" spans="1:14" x14ac:dyDescent="0.3">
      <c r="A178" s="824"/>
      <c r="B178" s="824"/>
      <c r="C178" s="824"/>
      <c r="D178" s="824"/>
      <c r="E178" s="824"/>
      <c r="F178" s="824"/>
      <c r="G178" s="824"/>
      <c r="H178" s="824"/>
      <c r="I178" s="824"/>
      <c r="J178" s="824"/>
      <c r="K178" s="824"/>
      <c r="L178" s="824"/>
      <c r="M178" s="824"/>
      <c r="N178" s="824"/>
    </row>
    <row r="179" spans="1:14" x14ac:dyDescent="0.3">
      <c r="A179" s="824"/>
      <c r="B179" s="824"/>
      <c r="C179" s="824"/>
      <c r="D179" s="824"/>
      <c r="E179" s="824"/>
      <c r="F179" s="824"/>
      <c r="G179" s="824"/>
      <c r="H179" s="824"/>
      <c r="I179" s="824"/>
      <c r="J179" s="824"/>
      <c r="K179" s="824"/>
      <c r="L179" s="824"/>
      <c r="M179" s="824"/>
      <c r="N179" s="824"/>
    </row>
    <row r="180" spans="1:14" x14ac:dyDescent="0.3">
      <c r="A180" s="824"/>
      <c r="B180" s="824"/>
      <c r="C180" s="824"/>
      <c r="D180" s="824"/>
      <c r="E180" s="824"/>
      <c r="F180" s="824"/>
      <c r="G180" s="824"/>
      <c r="H180" s="824"/>
      <c r="I180" s="824"/>
      <c r="J180" s="824"/>
      <c r="K180" s="824"/>
      <c r="L180" s="824"/>
      <c r="M180" s="824"/>
      <c r="N180" s="824"/>
    </row>
    <row r="181" spans="1:14" x14ac:dyDescent="0.3">
      <c r="A181" s="824"/>
      <c r="B181" s="824"/>
      <c r="C181" s="824"/>
      <c r="D181" s="824"/>
      <c r="E181" s="824"/>
      <c r="F181" s="824"/>
      <c r="G181" s="824"/>
      <c r="H181" s="824"/>
      <c r="I181" s="824"/>
      <c r="J181" s="824"/>
      <c r="K181" s="824"/>
      <c r="L181" s="824"/>
      <c r="M181" s="824"/>
      <c r="N181" s="824"/>
    </row>
    <row r="182" spans="1:14" x14ac:dyDescent="0.3">
      <c r="A182" s="824"/>
      <c r="B182" s="824"/>
      <c r="C182" s="824"/>
      <c r="D182" s="824"/>
      <c r="E182" s="824"/>
      <c r="F182" s="824"/>
      <c r="G182" s="824"/>
      <c r="H182" s="824"/>
      <c r="I182" s="824"/>
      <c r="J182" s="824"/>
      <c r="K182" s="824"/>
      <c r="L182" s="824"/>
      <c r="M182" s="824"/>
      <c r="N182" s="824"/>
    </row>
    <row r="183" spans="1:14" x14ac:dyDescent="0.3">
      <c r="A183" s="824"/>
      <c r="B183" s="824"/>
      <c r="C183" s="824"/>
      <c r="D183" s="824"/>
      <c r="E183" s="824"/>
      <c r="F183" s="824"/>
      <c r="G183" s="824"/>
      <c r="H183" s="824"/>
      <c r="I183" s="824"/>
      <c r="J183" s="824"/>
      <c r="K183" s="824"/>
      <c r="L183" s="824"/>
      <c r="M183" s="824"/>
      <c r="N183" s="824"/>
    </row>
    <row r="184" spans="1:14" x14ac:dyDescent="0.3">
      <c r="A184" s="824"/>
      <c r="B184" s="824"/>
      <c r="C184" s="824"/>
      <c r="D184" s="824"/>
      <c r="E184" s="824"/>
      <c r="F184" s="824"/>
      <c r="G184" s="824"/>
      <c r="H184" s="824"/>
      <c r="I184" s="824"/>
      <c r="J184" s="824"/>
      <c r="K184" s="824"/>
      <c r="L184" s="824"/>
      <c r="M184" s="824"/>
      <c r="N184" s="824"/>
    </row>
    <row r="185" spans="1:14" x14ac:dyDescent="0.3">
      <c r="A185" s="824"/>
      <c r="B185" s="824"/>
      <c r="C185" s="824"/>
      <c r="D185" s="824"/>
      <c r="E185" s="824"/>
      <c r="F185" s="824"/>
      <c r="G185" s="824"/>
      <c r="H185" s="824"/>
      <c r="I185" s="824"/>
      <c r="J185" s="824"/>
      <c r="K185" s="824"/>
      <c r="L185" s="824"/>
      <c r="M185" s="824"/>
      <c r="N185" s="824"/>
    </row>
    <row r="186" spans="1:14" x14ac:dyDescent="0.3">
      <c r="A186" s="824"/>
      <c r="B186" s="824"/>
      <c r="C186" s="824"/>
      <c r="D186" s="824"/>
      <c r="E186" s="824"/>
      <c r="F186" s="824"/>
      <c r="G186" s="824"/>
      <c r="H186" s="824"/>
      <c r="I186" s="824"/>
      <c r="J186" s="824"/>
      <c r="K186" s="824"/>
      <c r="L186" s="824"/>
      <c r="M186" s="824"/>
      <c r="N186" s="824"/>
    </row>
    <row r="187" spans="1:14" x14ac:dyDescent="0.3">
      <c r="A187" s="824"/>
      <c r="B187" s="824"/>
      <c r="C187" s="824"/>
      <c r="D187" s="824"/>
      <c r="E187" s="824"/>
      <c r="F187" s="824"/>
      <c r="G187" s="824"/>
      <c r="H187" s="824"/>
      <c r="I187" s="824"/>
      <c r="J187" s="824"/>
      <c r="K187" s="824"/>
      <c r="L187" s="824"/>
      <c r="M187" s="824"/>
      <c r="N187" s="824"/>
    </row>
    <row r="188" spans="1:14" x14ac:dyDescent="0.3">
      <c r="A188" s="824"/>
      <c r="B188" s="824"/>
      <c r="C188" s="824"/>
      <c r="D188" s="824"/>
      <c r="E188" s="824"/>
      <c r="F188" s="824"/>
      <c r="G188" s="824"/>
      <c r="H188" s="824"/>
      <c r="I188" s="824"/>
      <c r="J188" s="824"/>
      <c r="K188" s="824"/>
      <c r="L188" s="824"/>
      <c r="M188" s="824"/>
      <c r="N188" s="824"/>
    </row>
    <row r="189" spans="1:14" x14ac:dyDescent="0.3">
      <c r="A189" s="824"/>
      <c r="B189" s="824"/>
      <c r="C189" s="824"/>
      <c r="D189" s="824"/>
      <c r="E189" s="824"/>
      <c r="F189" s="824"/>
      <c r="G189" s="824"/>
      <c r="H189" s="824"/>
      <c r="I189" s="824"/>
      <c r="J189" s="824"/>
      <c r="K189" s="824"/>
      <c r="L189" s="824"/>
      <c r="M189" s="824"/>
      <c r="N189" s="824"/>
    </row>
    <row r="190" spans="1:14" x14ac:dyDescent="0.3">
      <c r="A190" s="824"/>
      <c r="B190" s="824"/>
      <c r="C190" s="824"/>
      <c r="D190" s="824"/>
      <c r="E190" s="824"/>
      <c r="F190" s="824"/>
      <c r="G190" s="824"/>
      <c r="H190" s="824"/>
      <c r="I190" s="824"/>
      <c r="J190" s="824"/>
      <c r="K190" s="824"/>
      <c r="L190" s="824"/>
      <c r="M190" s="824"/>
      <c r="N190" s="824"/>
    </row>
    <row r="191" spans="1:14" x14ac:dyDescent="0.3">
      <c r="A191" s="824"/>
      <c r="B191" s="824"/>
      <c r="C191" s="824"/>
      <c r="D191" s="824"/>
      <c r="E191" s="824"/>
      <c r="F191" s="824"/>
      <c r="G191" s="824"/>
      <c r="H191" s="824"/>
      <c r="I191" s="824"/>
      <c r="J191" s="824"/>
      <c r="K191" s="824"/>
      <c r="L191" s="824"/>
      <c r="M191" s="824"/>
      <c r="N191" s="824"/>
    </row>
    <row r="192" spans="1:14" x14ac:dyDescent="0.3">
      <c r="A192" s="824"/>
      <c r="B192" s="824"/>
      <c r="C192" s="824"/>
      <c r="D192" s="824"/>
      <c r="E192" s="824"/>
      <c r="F192" s="824"/>
      <c r="G192" s="824"/>
      <c r="H192" s="824"/>
      <c r="I192" s="824"/>
      <c r="J192" s="824"/>
      <c r="K192" s="824"/>
      <c r="L192" s="824"/>
      <c r="M192" s="824"/>
      <c r="N192" s="824"/>
    </row>
    <row r="193" spans="1:14" x14ac:dyDescent="0.3">
      <c r="A193" s="824"/>
      <c r="B193" s="824"/>
      <c r="C193" s="824"/>
      <c r="D193" s="824"/>
      <c r="E193" s="824"/>
      <c r="F193" s="824"/>
      <c r="G193" s="824"/>
      <c r="H193" s="824"/>
      <c r="I193" s="824"/>
      <c r="J193" s="824"/>
      <c r="K193" s="824"/>
      <c r="L193" s="824"/>
      <c r="M193" s="824"/>
      <c r="N193" s="824"/>
    </row>
    <row r="194" spans="1:14" x14ac:dyDescent="0.3">
      <c r="A194" s="824"/>
      <c r="B194" s="824"/>
      <c r="C194" s="824"/>
      <c r="D194" s="824"/>
      <c r="E194" s="824"/>
      <c r="F194" s="824"/>
      <c r="G194" s="824"/>
      <c r="H194" s="824"/>
      <c r="I194" s="824"/>
      <c r="J194" s="824"/>
      <c r="K194" s="824"/>
      <c r="L194" s="824"/>
      <c r="M194" s="824"/>
      <c r="N194" s="824"/>
    </row>
    <row r="195" spans="1:14" x14ac:dyDescent="0.3">
      <c r="A195" s="824"/>
      <c r="B195" s="824"/>
      <c r="C195" s="824"/>
      <c r="D195" s="824"/>
      <c r="E195" s="824"/>
      <c r="F195" s="824"/>
      <c r="G195" s="824"/>
      <c r="H195" s="824"/>
      <c r="I195" s="824"/>
      <c r="J195" s="824"/>
      <c r="K195" s="824"/>
      <c r="L195" s="824"/>
      <c r="M195" s="824"/>
      <c r="N195" s="824"/>
    </row>
    <row r="196" spans="1:14" x14ac:dyDescent="0.3">
      <c r="A196" s="824"/>
      <c r="B196" s="824"/>
      <c r="C196" s="824"/>
      <c r="D196" s="824"/>
      <c r="E196" s="824"/>
      <c r="F196" s="824"/>
      <c r="G196" s="824"/>
      <c r="H196" s="824"/>
      <c r="I196" s="824"/>
      <c r="J196" s="824"/>
      <c r="K196" s="824"/>
      <c r="L196" s="824"/>
      <c r="M196" s="824"/>
      <c r="N196" s="824"/>
    </row>
    <row r="197" spans="1:14" x14ac:dyDescent="0.3">
      <c r="A197" s="824"/>
      <c r="B197" s="824"/>
      <c r="C197" s="824"/>
      <c r="D197" s="824"/>
      <c r="E197" s="824"/>
      <c r="F197" s="824"/>
      <c r="G197" s="824"/>
      <c r="H197" s="824"/>
      <c r="I197" s="824"/>
      <c r="J197" s="824"/>
      <c r="K197" s="824"/>
      <c r="L197" s="824"/>
      <c r="M197" s="824"/>
      <c r="N197" s="824"/>
    </row>
    <row r="198" spans="1:14" x14ac:dyDescent="0.3">
      <c r="A198" s="824"/>
      <c r="B198" s="824"/>
      <c r="C198" s="824"/>
      <c r="D198" s="824"/>
      <c r="E198" s="824"/>
      <c r="F198" s="824"/>
      <c r="G198" s="824"/>
      <c r="H198" s="824"/>
      <c r="I198" s="824"/>
      <c r="J198" s="824"/>
      <c r="K198" s="824"/>
      <c r="L198" s="824"/>
      <c r="M198" s="824"/>
      <c r="N198" s="824"/>
    </row>
    <row r="199" spans="1:14" x14ac:dyDescent="0.3">
      <c r="A199" s="824"/>
      <c r="B199" s="824"/>
      <c r="C199" s="824"/>
      <c r="D199" s="824"/>
      <c r="E199" s="824"/>
      <c r="F199" s="824"/>
      <c r="G199" s="824"/>
      <c r="H199" s="824"/>
      <c r="I199" s="824"/>
      <c r="J199" s="824"/>
      <c r="K199" s="824"/>
      <c r="L199" s="824"/>
      <c r="M199" s="824"/>
      <c r="N199" s="824"/>
    </row>
    <row r="200" spans="1:14" x14ac:dyDescent="0.3">
      <c r="A200" s="824"/>
      <c r="B200" s="824"/>
      <c r="C200" s="824"/>
      <c r="D200" s="824"/>
      <c r="E200" s="824"/>
      <c r="F200" s="824"/>
      <c r="G200" s="824"/>
      <c r="H200" s="824"/>
      <c r="I200" s="824"/>
      <c r="J200" s="824"/>
      <c r="K200" s="824"/>
      <c r="L200" s="824"/>
      <c r="M200" s="824"/>
      <c r="N200" s="824"/>
    </row>
    <row r="201" spans="1:14" x14ac:dyDescent="0.3">
      <c r="A201" s="824"/>
      <c r="B201" s="824"/>
      <c r="C201" s="824"/>
      <c r="D201" s="824"/>
      <c r="E201" s="824"/>
      <c r="F201" s="824"/>
      <c r="G201" s="824"/>
      <c r="H201" s="824"/>
      <c r="I201" s="824"/>
      <c r="J201" s="824"/>
      <c r="K201" s="824"/>
      <c r="L201" s="824"/>
      <c r="M201" s="824"/>
      <c r="N201" s="824"/>
    </row>
    <row r="202" spans="1:14" x14ac:dyDescent="0.3">
      <c r="A202" s="824"/>
      <c r="B202" s="824"/>
      <c r="C202" s="824"/>
      <c r="D202" s="824"/>
      <c r="E202" s="824"/>
      <c r="F202" s="824"/>
      <c r="G202" s="824"/>
      <c r="H202" s="824"/>
      <c r="I202" s="824"/>
      <c r="J202" s="824"/>
      <c r="K202" s="824"/>
      <c r="L202" s="824"/>
      <c r="M202" s="824"/>
      <c r="N202" s="824"/>
    </row>
    <row r="203" spans="1:14" x14ac:dyDescent="0.3">
      <c r="A203" s="824"/>
      <c r="B203" s="824"/>
      <c r="C203" s="824"/>
      <c r="D203" s="824"/>
      <c r="E203" s="824"/>
      <c r="F203" s="824"/>
      <c r="G203" s="824"/>
      <c r="H203" s="824"/>
      <c r="I203" s="824"/>
      <c r="J203" s="824"/>
      <c r="K203" s="824"/>
      <c r="L203" s="824"/>
      <c r="M203" s="824"/>
      <c r="N203" s="824"/>
    </row>
    <row r="204" spans="1:14" x14ac:dyDescent="0.3">
      <c r="A204" s="824"/>
      <c r="B204" s="824"/>
      <c r="C204" s="824"/>
      <c r="D204" s="824"/>
      <c r="E204" s="824"/>
      <c r="F204" s="824"/>
      <c r="G204" s="824"/>
      <c r="H204" s="824"/>
      <c r="I204" s="824"/>
      <c r="J204" s="824"/>
      <c r="K204" s="824"/>
      <c r="L204" s="824"/>
      <c r="M204" s="824"/>
      <c r="N204" s="824"/>
    </row>
    <row r="205" spans="1:14" x14ac:dyDescent="0.3">
      <c r="A205" s="824"/>
      <c r="B205" s="824"/>
      <c r="C205" s="824"/>
      <c r="D205" s="824"/>
      <c r="E205" s="824"/>
      <c r="F205" s="824"/>
      <c r="G205" s="824"/>
      <c r="H205" s="824"/>
      <c r="I205" s="824"/>
      <c r="J205" s="824"/>
      <c r="K205" s="824"/>
      <c r="L205" s="824"/>
      <c r="M205" s="824"/>
      <c r="N205" s="824"/>
    </row>
    <row r="206" spans="1:14" x14ac:dyDescent="0.3">
      <c r="A206" s="824"/>
      <c r="B206" s="824"/>
      <c r="C206" s="824"/>
      <c r="D206" s="824"/>
      <c r="E206" s="824"/>
      <c r="F206" s="824"/>
      <c r="G206" s="824"/>
      <c r="H206" s="824"/>
      <c r="I206" s="824"/>
      <c r="J206" s="824"/>
      <c r="K206" s="824"/>
      <c r="L206" s="824"/>
      <c r="M206" s="824"/>
      <c r="N206" s="824"/>
    </row>
    <row r="207" spans="1:14" x14ac:dyDescent="0.3">
      <c r="A207" s="824"/>
      <c r="B207" s="824"/>
      <c r="C207" s="824"/>
      <c r="D207" s="824"/>
      <c r="E207" s="824"/>
      <c r="F207" s="824"/>
      <c r="G207" s="824"/>
      <c r="H207" s="824"/>
      <c r="I207" s="824"/>
      <c r="J207" s="824"/>
      <c r="K207" s="824"/>
      <c r="L207" s="824"/>
      <c r="M207" s="824"/>
      <c r="N207" s="824"/>
    </row>
    <row r="208" spans="1:14" x14ac:dyDescent="0.3">
      <c r="A208" s="824"/>
      <c r="B208" s="824"/>
      <c r="C208" s="824"/>
      <c r="D208" s="824"/>
      <c r="E208" s="824"/>
      <c r="F208" s="824"/>
      <c r="G208" s="824"/>
      <c r="H208" s="824"/>
      <c r="I208" s="824"/>
      <c r="J208" s="824"/>
      <c r="K208" s="824"/>
      <c r="L208" s="824"/>
      <c r="M208" s="824"/>
      <c r="N208" s="824"/>
    </row>
    <row r="209" spans="1:14" x14ac:dyDescent="0.3">
      <c r="A209" s="824"/>
      <c r="B209" s="824"/>
      <c r="C209" s="824"/>
      <c r="D209" s="824"/>
      <c r="E209" s="824"/>
      <c r="F209" s="824"/>
      <c r="G209" s="824"/>
      <c r="H209" s="824"/>
      <c r="I209" s="824"/>
      <c r="J209" s="825"/>
      <c r="K209" s="825"/>
      <c r="L209" s="825"/>
      <c r="M209" s="825"/>
      <c r="N209" s="825"/>
    </row>
    <row r="210" spans="1:14" x14ac:dyDescent="0.3">
      <c r="A210" s="824"/>
      <c r="B210" s="824"/>
      <c r="C210" s="824"/>
      <c r="D210" s="824"/>
      <c r="E210" s="824"/>
      <c r="F210" s="824"/>
      <c r="G210" s="824"/>
      <c r="H210" s="824"/>
      <c r="I210" s="824"/>
    </row>
    <row r="211" spans="1:14" x14ac:dyDescent="0.3">
      <c r="A211" s="824"/>
      <c r="B211" s="824"/>
      <c r="C211" s="824"/>
      <c r="D211" s="824"/>
      <c r="E211" s="824"/>
      <c r="F211" s="824"/>
      <c r="G211" s="824"/>
      <c r="H211" s="824"/>
      <c r="I211" s="824"/>
    </row>
    <row r="212" spans="1:14" x14ac:dyDescent="0.3">
      <c r="A212" s="824"/>
      <c r="B212" s="824"/>
      <c r="C212" s="824"/>
      <c r="D212" s="824"/>
      <c r="E212" s="824"/>
      <c r="F212" s="824"/>
      <c r="G212" s="824"/>
      <c r="H212" s="824"/>
      <c r="I212" s="824"/>
    </row>
    <row r="213" spans="1:14" x14ac:dyDescent="0.3">
      <c r="A213" s="824"/>
      <c r="B213" s="824"/>
      <c r="C213" s="824"/>
      <c r="D213" s="824"/>
      <c r="E213" s="824"/>
      <c r="F213" s="824"/>
      <c r="G213" s="824"/>
      <c r="H213" s="824"/>
      <c r="I213" s="824"/>
    </row>
    <row r="214" spans="1:14" x14ac:dyDescent="0.3">
      <c r="A214" s="824"/>
      <c r="B214" s="824"/>
      <c r="C214" s="824"/>
      <c r="D214" s="824"/>
      <c r="E214" s="824"/>
      <c r="F214" s="824"/>
      <c r="G214" s="824"/>
      <c r="H214" s="824"/>
      <c r="I214" s="824"/>
    </row>
    <row r="215" spans="1:14" x14ac:dyDescent="0.3">
      <c r="A215" s="824"/>
      <c r="B215" s="824"/>
      <c r="C215" s="824"/>
      <c r="D215" s="824"/>
      <c r="E215" s="824"/>
      <c r="F215" s="824"/>
      <c r="G215" s="824"/>
      <c r="H215" s="824"/>
      <c r="I215" s="824"/>
    </row>
    <row r="216" spans="1:14" x14ac:dyDescent="0.3">
      <c r="A216" s="824"/>
      <c r="B216" s="824"/>
      <c r="C216" s="824"/>
      <c r="D216" s="824"/>
      <c r="E216" s="824"/>
      <c r="F216" s="824"/>
      <c r="G216" s="824"/>
      <c r="H216" s="824"/>
      <c r="I216" s="824"/>
    </row>
    <row r="217" spans="1:14" x14ac:dyDescent="0.3">
      <c r="A217" s="824"/>
      <c r="B217" s="824"/>
      <c r="C217" s="824"/>
      <c r="D217" s="824"/>
      <c r="E217" s="824"/>
      <c r="F217" s="824"/>
      <c r="G217" s="824"/>
      <c r="H217" s="824"/>
      <c r="I217" s="824"/>
    </row>
    <row r="218" spans="1:14" x14ac:dyDescent="0.3">
      <c r="A218" s="824"/>
      <c r="B218" s="824"/>
      <c r="C218" s="824"/>
      <c r="D218" s="824"/>
      <c r="E218" s="824"/>
      <c r="F218" s="824"/>
      <c r="G218" s="824"/>
      <c r="H218" s="824"/>
      <c r="I218" s="824"/>
    </row>
    <row r="219" spans="1:14" x14ac:dyDescent="0.3">
      <c r="A219" s="824"/>
      <c r="B219" s="824"/>
      <c r="C219" s="824"/>
      <c r="D219" s="824"/>
      <c r="E219" s="824"/>
      <c r="F219" s="824"/>
      <c r="G219" s="824"/>
      <c r="H219" s="824"/>
      <c r="I219" s="824"/>
    </row>
    <row r="220" spans="1:14" x14ac:dyDescent="0.3">
      <c r="A220" s="824"/>
      <c r="B220" s="824"/>
      <c r="C220" s="824"/>
      <c r="D220" s="824"/>
      <c r="E220" s="824"/>
      <c r="F220" s="824"/>
      <c r="G220" s="824"/>
      <c r="H220" s="824"/>
      <c r="I220" s="824"/>
    </row>
    <row r="221" spans="1:14" x14ac:dyDescent="0.3">
      <c r="A221" s="824"/>
      <c r="B221" s="824"/>
      <c r="C221" s="824"/>
      <c r="D221" s="824"/>
      <c r="E221" s="824"/>
      <c r="F221" s="824"/>
      <c r="G221" s="824"/>
      <c r="H221" s="824"/>
      <c r="I221" s="824"/>
    </row>
    <row r="222" spans="1:14" x14ac:dyDescent="0.3">
      <c r="A222" s="824"/>
      <c r="B222" s="824"/>
      <c r="C222" s="824"/>
      <c r="D222" s="824"/>
      <c r="E222" s="824"/>
      <c r="F222" s="824"/>
      <c r="G222" s="824"/>
      <c r="H222" s="824"/>
      <c r="I222" s="824"/>
    </row>
    <row r="223" spans="1:14" x14ac:dyDescent="0.3">
      <c r="A223" s="824"/>
      <c r="B223" s="824"/>
      <c r="C223" s="824"/>
      <c r="D223" s="824"/>
      <c r="E223" s="824"/>
      <c r="F223" s="824"/>
      <c r="G223" s="824"/>
      <c r="H223" s="824"/>
      <c r="I223" s="824"/>
    </row>
    <row r="224" spans="1:14" x14ac:dyDescent="0.3">
      <c r="A224" s="824"/>
      <c r="B224" s="824"/>
      <c r="C224" s="824"/>
      <c r="D224" s="824"/>
      <c r="E224" s="824"/>
      <c r="F224" s="824"/>
      <c r="G224" s="824"/>
      <c r="H224" s="824"/>
      <c r="I224" s="824"/>
    </row>
    <row r="225" spans="1:9" x14ac:dyDescent="0.3">
      <c r="A225" s="824"/>
      <c r="B225" s="824"/>
      <c r="C225" s="824"/>
      <c r="D225" s="824"/>
      <c r="E225" s="824"/>
      <c r="F225" s="824"/>
      <c r="G225" s="824"/>
      <c r="H225" s="824"/>
      <c r="I225" s="824"/>
    </row>
    <row r="226" spans="1:9" x14ac:dyDescent="0.3">
      <c r="A226" s="824"/>
      <c r="B226" s="824"/>
      <c r="C226" s="824"/>
      <c r="D226" s="824"/>
      <c r="E226" s="824"/>
      <c r="F226" s="824"/>
      <c r="G226" s="824"/>
      <c r="H226" s="824"/>
      <c r="I226" s="824"/>
    </row>
    <row r="227" spans="1:9" x14ac:dyDescent="0.3">
      <c r="A227" s="824"/>
      <c r="B227" s="824"/>
      <c r="C227" s="824"/>
      <c r="D227" s="824"/>
      <c r="E227" s="824"/>
      <c r="F227" s="824"/>
      <c r="G227" s="824"/>
      <c r="H227" s="824"/>
      <c r="I227" s="824"/>
    </row>
    <row r="228" spans="1:9" x14ac:dyDescent="0.3">
      <c r="A228" s="824"/>
      <c r="B228" s="824"/>
      <c r="C228" s="824"/>
      <c r="D228" s="824"/>
      <c r="E228" s="824"/>
      <c r="F228" s="824"/>
      <c r="G228" s="824"/>
      <c r="H228" s="824"/>
      <c r="I228" s="824"/>
    </row>
    <row r="229" spans="1:9" x14ac:dyDescent="0.3">
      <c r="A229" s="824"/>
      <c r="B229" s="824"/>
      <c r="C229" s="824"/>
      <c r="D229" s="824"/>
      <c r="E229" s="824"/>
      <c r="F229" s="824"/>
      <c r="G229" s="824"/>
      <c r="H229" s="824"/>
      <c r="I229" s="824"/>
    </row>
    <row r="230" spans="1:9" x14ac:dyDescent="0.3">
      <c r="A230" s="824"/>
      <c r="B230" s="824"/>
      <c r="C230" s="824"/>
      <c r="D230" s="824"/>
      <c r="E230" s="824"/>
      <c r="F230" s="824"/>
      <c r="G230" s="824"/>
      <c r="H230" s="824"/>
      <c r="I230" s="824"/>
    </row>
    <row r="231" spans="1:9" x14ac:dyDescent="0.3">
      <c r="A231" s="824"/>
      <c r="B231" s="824"/>
      <c r="C231" s="824"/>
      <c r="D231" s="824"/>
      <c r="E231" s="824"/>
      <c r="F231" s="824"/>
      <c r="G231" s="824"/>
      <c r="H231" s="824"/>
      <c r="I231" s="824"/>
    </row>
    <row r="232" spans="1:9" x14ac:dyDescent="0.3">
      <c r="A232" s="824"/>
      <c r="B232" s="824"/>
      <c r="C232" s="824"/>
      <c r="D232" s="824"/>
      <c r="E232" s="824"/>
      <c r="F232" s="824"/>
      <c r="G232" s="824"/>
      <c r="H232" s="824"/>
      <c r="I232" s="824"/>
    </row>
    <row r="233" spans="1:9" x14ac:dyDescent="0.3">
      <c r="A233" s="824"/>
      <c r="B233" s="824"/>
      <c r="C233" s="824"/>
      <c r="D233" s="824"/>
      <c r="E233" s="824"/>
      <c r="F233" s="824"/>
      <c r="G233" s="824"/>
      <c r="H233" s="824"/>
      <c r="I233" s="824"/>
    </row>
    <row r="234" spans="1:9" x14ac:dyDescent="0.3">
      <c r="A234" s="824"/>
      <c r="B234" s="824"/>
      <c r="C234" s="824"/>
      <c r="D234" s="824"/>
      <c r="E234" s="824"/>
      <c r="F234" s="824"/>
      <c r="G234" s="824"/>
      <c r="H234" s="824"/>
      <c r="I234" s="824"/>
    </row>
    <row r="235" spans="1:9" x14ac:dyDescent="0.3">
      <c r="A235" s="824"/>
      <c r="B235" s="824"/>
      <c r="C235" s="824"/>
      <c r="D235" s="824"/>
      <c r="E235" s="824"/>
      <c r="F235" s="824"/>
      <c r="G235" s="824"/>
      <c r="H235" s="824"/>
      <c r="I235" s="824"/>
    </row>
    <row r="236" spans="1:9" x14ac:dyDescent="0.3">
      <c r="A236" s="824"/>
      <c r="B236" s="824"/>
      <c r="C236" s="824"/>
      <c r="D236" s="824"/>
      <c r="E236" s="824"/>
      <c r="F236" s="824"/>
      <c r="G236" s="824"/>
      <c r="H236" s="824"/>
      <c r="I236" s="824"/>
    </row>
    <row r="237" spans="1:9" x14ac:dyDescent="0.3">
      <c r="A237" s="824"/>
      <c r="B237" s="824"/>
      <c r="C237" s="824"/>
      <c r="D237" s="824"/>
      <c r="E237" s="824"/>
      <c r="F237" s="824"/>
      <c r="G237" s="824"/>
      <c r="H237" s="824"/>
      <c r="I237" s="824"/>
    </row>
    <row r="238" spans="1:9" x14ac:dyDescent="0.3">
      <c r="A238" s="824"/>
      <c r="B238" s="824"/>
      <c r="C238" s="824"/>
      <c r="D238" s="824"/>
      <c r="E238" s="824"/>
      <c r="F238" s="824"/>
      <c r="G238" s="824"/>
      <c r="H238" s="824"/>
      <c r="I238" s="824"/>
    </row>
    <row r="239" spans="1:9" x14ac:dyDescent="0.3">
      <c r="A239" s="824"/>
      <c r="B239" s="824"/>
      <c r="C239" s="824"/>
      <c r="D239" s="824"/>
      <c r="E239" s="824"/>
      <c r="F239" s="824"/>
      <c r="G239" s="824"/>
      <c r="H239" s="824"/>
      <c r="I239" s="824"/>
    </row>
    <row r="240" spans="1:9" x14ac:dyDescent="0.3">
      <c r="A240" s="824"/>
      <c r="B240" s="824"/>
      <c r="C240" s="824"/>
      <c r="D240" s="824"/>
      <c r="E240" s="824"/>
      <c r="F240" s="824"/>
      <c r="G240" s="824"/>
      <c r="H240" s="824"/>
      <c r="I240" s="824"/>
    </row>
    <row r="241" spans="1:9" x14ac:dyDescent="0.3">
      <c r="A241" s="824"/>
      <c r="B241" s="824"/>
      <c r="C241" s="824"/>
      <c r="D241" s="824"/>
      <c r="E241" s="824"/>
      <c r="F241" s="824"/>
      <c r="G241" s="824"/>
      <c r="H241" s="824"/>
      <c r="I241" s="824"/>
    </row>
    <row r="242" spans="1:9" x14ac:dyDescent="0.3">
      <c r="A242" s="824"/>
      <c r="B242" s="824"/>
      <c r="C242" s="824"/>
      <c r="D242" s="824"/>
      <c r="E242" s="824"/>
      <c r="F242" s="824"/>
      <c r="G242" s="824"/>
      <c r="H242" s="824"/>
      <c r="I242" s="824"/>
    </row>
    <row r="243" spans="1:9" x14ac:dyDescent="0.3">
      <c r="A243" s="824"/>
      <c r="B243" s="824"/>
      <c r="C243" s="824"/>
      <c r="D243" s="824"/>
      <c r="E243" s="824"/>
      <c r="F243" s="824"/>
      <c r="G243" s="824"/>
      <c r="H243" s="824"/>
      <c r="I243" s="824"/>
    </row>
    <row r="244" spans="1:9" x14ac:dyDescent="0.3">
      <c r="A244" s="824"/>
      <c r="B244" s="824"/>
      <c r="C244" s="824"/>
      <c r="D244" s="824"/>
      <c r="E244" s="824"/>
      <c r="F244" s="824"/>
      <c r="G244" s="824"/>
      <c r="H244" s="824"/>
      <c r="I244" s="824"/>
    </row>
    <row r="245" spans="1:9" x14ac:dyDescent="0.3">
      <c r="A245" s="824"/>
      <c r="B245" s="824"/>
      <c r="C245" s="824"/>
      <c r="D245" s="824"/>
      <c r="E245" s="824"/>
      <c r="F245" s="824"/>
      <c r="G245" s="824"/>
      <c r="H245" s="824"/>
      <c r="I245" s="824"/>
    </row>
    <row r="246" spans="1:9" x14ac:dyDescent="0.3">
      <c r="A246" s="824"/>
      <c r="B246" s="824"/>
      <c r="C246" s="824"/>
      <c r="D246" s="824"/>
      <c r="E246" s="824"/>
      <c r="F246" s="824"/>
      <c r="G246" s="824"/>
      <c r="H246" s="824"/>
      <c r="I246" s="824"/>
    </row>
    <row r="247" spans="1:9" x14ac:dyDescent="0.3">
      <c r="A247" s="824"/>
      <c r="B247" s="824"/>
      <c r="C247" s="824"/>
      <c r="D247" s="824"/>
      <c r="E247" s="824"/>
      <c r="F247" s="824"/>
      <c r="G247" s="824"/>
      <c r="H247" s="824"/>
      <c r="I247" s="824"/>
    </row>
    <row r="248" spans="1:9" x14ac:dyDescent="0.3">
      <c r="A248" s="824"/>
      <c r="B248" s="824"/>
      <c r="C248" s="824"/>
      <c r="D248" s="824"/>
      <c r="E248" s="824"/>
      <c r="F248" s="824"/>
      <c r="G248" s="824"/>
      <c r="H248" s="824"/>
      <c r="I248" s="824"/>
    </row>
    <row r="249" spans="1:9" x14ac:dyDescent="0.3">
      <c r="A249" s="824"/>
      <c r="B249" s="824"/>
      <c r="C249" s="824"/>
      <c r="D249" s="824"/>
      <c r="E249" s="824"/>
      <c r="F249" s="824"/>
      <c r="G249" s="824"/>
      <c r="H249" s="824"/>
      <c r="I249" s="824"/>
    </row>
    <row r="250" spans="1:9" x14ac:dyDescent="0.3">
      <c r="A250" s="824"/>
      <c r="B250" s="824"/>
      <c r="C250" s="824"/>
      <c r="D250" s="824"/>
      <c r="E250" s="824"/>
      <c r="F250" s="824"/>
      <c r="G250" s="824"/>
      <c r="H250" s="824"/>
      <c r="I250" s="824"/>
    </row>
    <row r="251" spans="1:9" x14ac:dyDescent="0.3">
      <c r="A251" s="824"/>
      <c r="B251" s="824"/>
      <c r="C251" s="824"/>
      <c r="D251" s="824"/>
      <c r="E251" s="824"/>
      <c r="F251" s="824"/>
      <c r="G251" s="824"/>
      <c r="H251" s="824"/>
      <c r="I251" s="824"/>
    </row>
    <row r="252" spans="1:9" x14ac:dyDescent="0.3">
      <c r="A252" s="824"/>
      <c r="B252" s="824"/>
      <c r="C252" s="824"/>
      <c r="D252" s="824"/>
      <c r="E252" s="824"/>
      <c r="F252" s="824"/>
      <c r="G252" s="824"/>
      <c r="H252" s="824"/>
      <c r="I252" s="824"/>
    </row>
    <row r="253" spans="1:9" x14ac:dyDescent="0.3">
      <c r="A253" s="824"/>
      <c r="B253" s="824"/>
      <c r="C253" s="824"/>
      <c r="D253" s="824"/>
      <c r="E253" s="824"/>
      <c r="F253" s="824"/>
      <c r="G253" s="824"/>
      <c r="H253" s="824"/>
      <c r="I253" s="824"/>
    </row>
    <row r="254" spans="1:9" x14ac:dyDescent="0.3">
      <c r="A254" s="824"/>
      <c r="B254" s="824"/>
      <c r="C254" s="824"/>
      <c r="D254" s="824"/>
      <c r="E254" s="824"/>
      <c r="F254" s="824"/>
      <c r="G254" s="824"/>
      <c r="H254" s="824"/>
      <c r="I254" s="824"/>
    </row>
    <row r="255" spans="1:9" x14ac:dyDescent="0.3">
      <c r="A255" s="824"/>
      <c r="B255" s="824"/>
      <c r="C255" s="824"/>
      <c r="D255" s="824"/>
      <c r="E255" s="824"/>
      <c r="F255" s="824"/>
      <c r="G255" s="824"/>
      <c r="H255" s="824"/>
      <c r="I255" s="824"/>
    </row>
    <row r="256" spans="1:9" x14ac:dyDescent="0.3">
      <c r="A256" s="824"/>
      <c r="B256" s="824"/>
      <c r="C256" s="824"/>
      <c r="D256" s="824"/>
      <c r="E256" s="824"/>
      <c r="F256" s="824"/>
      <c r="G256" s="824"/>
      <c r="H256" s="824"/>
      <c r="I256" s="824"/>
    </row>
    <row r="257" spans="1:9" x14ac:dyDescent="0.3">
      <c r="A257" s="824"/>
      <c r="B257" s="824"/>
      <c r="C257" s="824"/>
      <c r="D257" s="824"/>
      <c r="E257" s="824"/>
      <c r="F257" s="824"/>
      <c r="G257" s="824"/>
      <c r="H257" s="824"/>
      <c r="I257" s="824"/>
    </row>
    <row r="258" spans="1:9" x14ac:dyDescent="0.3">
      <c r="A258" s="824"/>
      <c r="B258" s="824"/>
      <c r="C258" s="824"/>
      <c r="D258" s="824"/>
      <c r="E258" s="824"/>
      <c r="F258" s="824"/>
      <c r="G258" s="824"/>
      <c r="H258" s="824"/>
      <c r="I258" s="824"/>
    </row>
    <row r="259" spans="1:9" x14ac:dyDescent="0.3">
      <c r="A259" s="824"/>
      <c r="B259" s="824"/>
      <c r="C259" s="824"/>
      <c r="D259" s="824"/>
      <c r="E259" s="824"/>
      <c r="F259" s="824"/>
      <c r="G259" s="824"/>
      <c r="H259" s="824"/>
      <c r="I259" s="824"/>
    </row>
    <row r="260" spans="1:9" x14ac:dyDescent="0.3">
      <c r="A260" s="824"/>
      <c r="B260" s="824"/>
      <c r="C260" s="824"/>
      <c r="D260" s="824"/>
      <c r="E260" s="824"/>
      <c r="F260" s="824"/>
      <c r="G260" s="824"/>
      <c r="H260" s="824"/>
      <c r="I260" s="824"/>
    </row>
    <row r="261" spans="1:9" x14ac:dyDescent="0.3">
      <c r="A261" s="824"/>
      <c r="B261" s="824"/>
      <c r="C261" s="824"/>
      <c r="D261" s="824"/>
      <c r="E261" s="824"/>
      <c r="F261" s="824"/>
      <c r="G261" s="824"/>
      <c r="H261" s="824"/>
      <c r="I261" s="824"/>
    </row>
    <row r="262" spans="1:9" x14ac:dyDescent="0.3">
      <c r="A262" s="824"/>
      <c r="B262" s="824"/>
      <c r="C262" s="824"/>
      <c r="D262" s="824"/>
      <c r="E262" s="824"/>
      <c r="F262" s="824"/>
      <c r="G262" s="824"/>
      <c r="H262" s="824"/>
      <c r="I262" s="824"/>
    </row>
    <row r="263" spans="1:9" x14ac:dyDescent="0.3">
      <c r="A263" s="824"/>
      <c r="B263" s="824"/>
      <c r="C263" s="824"/>
      <c r="D263" s="824"/>
      <c r="E263" s="824"/>
      <c r="F263" s="824"/>
      <c r="G263" s="824"/>
      <c r="H263" s="824"/>
      <c r="I263" s="824"/>
    </row>
    <row r="264" spans="1:9" x14ac:dyDescent="0.3">
      <c r="A264" s="824"/>
      <c r="B264" s="824"/>
      <c r="C264" s="824"/>
      <c r="D264" s="824"/>
      <c r="E264" s="824"/>
      <c r="F264" s="824"/>
      <c r="G264" s="824"/>
      <c r="H264" s="824"/>
      <c r="I264" s="824"/>
    </row>
    <row r="265" spans="1:9" x14ac:dyDescent="0.3">
      <c r="A265" s="824"/>
      <c r="B265" s="824"/>
      <c r="C265" s="824"/>
      <c r="D265" s="824"/>
      <c r="E265" s="824"/>
      <c r="F265" s="824"/>
      <c r="G265" s="824"/>
      <c r="H265" s="824"/>
      <c r="I265" s="824"/>
    </row>
    <row r="266" spans="1:9" x14ac:dyDescent="0.3">
      <c r="A266" s="824"/>
      <c r="B266" s="824"/>
      <c r="C266" s="824"/>
      <c r="D266" s="824"/>
      <c r="E266" s="824"/>
      <c r="F266" s="824"/>
      <c r="G266" s="824"/>
      <c r="H266" s="824"/>
      <c r="I266" s="824"/>
    </row>
    <row r="267" spans="1:9" x14ac:dyDescent="0.3">
      <c r="A267" s="824"/>
      <c r="B267" s="824"/>
      <c r="C267" s="824"/>
      <c r="D267" s="824"/>
      <c r="E267" s="824"/>
      <c r="F267" s="824"/>
      <c r="G267" s="824"/>
      <c r="H267" s="824"/>
      <c r="I267" s="824"/>
    </row>
    <row r="268" spans="1:9" x14ac:dyDescent="0.3">
      <c r="A268" s="824"/>
      <c r="B268" s="824"/>
      <c r="C268" s="824"/>
      <c r="D268" s="824"/>
      <c r="E268" s="824"/>
      <c r="F268" s="824"/>
      <c r="G268" s="824"/>
      <c r="H268" s="824"/>
      <c r="I268" s="824"/>
    </row>
    <row r="269" spans="1:9" x14ac:dyDescent="0.3">
      <c r="A269" s="824"/>
      <c r="B269" s="824"/>
      <c r="C269" s="824"/>
      <c r="D269" s="824"/>
      <c r="E269" s="824"/>
      <c r="F269" s="824"/>
      <c r="G269" s="824"/>
      <c r="H269" s="824"/>
      <c r="I269" s="824"/>
    </row>
    <row r="270" spans="1:9" x14ac:dyDescent="0.3">
      <c r="A270" s="824"/>
      <c r="B270" s="824"/>
      <c r="C270" s="824"/>
      <c r="D270" s="824"/>
      <c r="E270" s="824"/>
      <c r="F270" s="824"/>
      <c r="G270" s="824"/>
      <c r="H270" s="824"/>
      <c r="I270" s="824"/>
    </row>
    <row r="271" spans="1:9" x14ac:dyDescent="0.3">
      <c r="A271" s="824"/>
      <c r="B271" s="824"/>
      <c r="C271" s="824"/>
      <c r="D271" s="824"/>
      <c r="E271" s="824"/>
      <c r="F271" s="824"/>
      <c r="G271" s="824"/>
      <c r="H271" s="824"/>
      <c r="I271" s="824"/>
    </row>
    <row r="272" spans="1:9" x14ac:dyDescent="0.3">
      <c r="A272" s="824"/>
      <c r="B272" s="824"/>
      <c r="C272" s="824"/>
      <c r="D272" s="824"/>
      <c r="E272" s="824"/>
      <c r="F272" s="824"/>
      <c r="G272" s="824"/>
      <c r="H272" s="824"/>
      <c r="I272" s="824"/>
    </row>
    <row r="273" spans="1:9" x14ac:dyDescent="0.3">
      <c r="A273" s="824"/>
      <c r="B273" s="824"/>
      <c r="C273" s="824"/>
      <c r="D273" s="824"/>
      <c r="E273" s="824"/>
      <c r="F273" s="824"/>
      <c r="G273" s="824"/>
      <c r="H273" s="824"/>
      <c r="I273" s="824"/>
    </row>
    <row r="274" spans="1:9" x14ac:dyDescent="0.3">
      <c r="A274" s="824"/>
      <c r="B274" s="824"/>
      <c r="C274" s="824"/>
      <c r="D274" s="824"/>
      <c r="E274" s="824"/>
      <c r="F274" s="824"/>
      <c r="G274" s="824"/>
      <c r="H274" s="824"/>
      <c r="I274" s="824"/>
    </row>
    <row r="275" spans="1:9" x14ac:dyDescent="0.3">
      <c r="A275" s="824"/>
      <c r="B275" s="824"/>
      <c r="C275" s="824"/>
      <c r="D275" s="824"/>
      <c r="E275" s="824"/>
      <c r="F275" s="824"/>
      <c r="G275" s="824"/>
      <c r="H275" s="824"/>
      <c r="I275" s="824"/>
    </row>
    <row r="276" spans="1:9" x14ac:dyDescent="0.3">
      <c r="A276" s="824"/>
      <c r="B276" s="824"/>
      <c r="C276" s="824"/>
      <c r="D276" s="824"/>
      <c r="E276" s="824"/>
      <c r="F276" s="824"/>
      <c r="G276" s="824"/>
      <c r="H276" s="824"/>
      <c r="I276" s="824"/>
    </row>
    <row r="277" spans="1:9" x14ac:dyDescent="0.3">
      <c r="A277" s="824"/>
      <c r="B277" s="824"/>
      <c r="C277" s="824"/>
      <c r="D277" s="824"/>
      <c r="E277" s="824"/>
      <c r="F277" s="824"/>
      <c r="G277" s="824"/>
      <c r="H277" s="824"/>
      <c r="I277" s="824"/>
    </row>
    <row r="278" spans="1:9" x14ac:dyDescent="0.3">
      <c r="A278" s="824"/>
      <c r="B278" s="824"/>
      <c r="C278" s="824"/>
      <c r="D278" s="824"/>
      <c r="E278" s="824"/>
      <c r="F278" s="824"/>
      <c r="G278" s="824"/>
      <c r="H278" s="824"/>
      <c r="I278" s="824"/>
    </row>
    <row r="279" spans="1:9" x14ac:dyDescent="0.3">
      <c r="A279" s="824"/>
      <c r="B279" s="824"/>
      <c r="C279" s="824"/>
      <c r="D279" s="824"/>
      <c r="E279" s="824"/>
      <c r="F279" s="824"/>
      <c r="G279" s="824"/>
      <c r="H279" s="824"/>
      <c r="I279" s="824"/>
    </row>
    <row r="280" spans="1:9" x14ac:dyDescent="0.3">
      <c r="A280" s="824"/>
      <c r="B280" s="824"/>
      <c r="C280" s="824"/>
      <c r="D280" s="824"/>
      <c r="E280" s="824"/>
      <c r="F280" s="824"/>
      <c r="G280" s="824"/>
      <c r="H280" s="824"/>
      <c r="I280" s="824"/>
    </row>
  </sheetData>
  <hyperlinks>
    <hyperlink ref="F2" location="BOM!A1" display="Back to BOM"/>
    <hyperlink ref="B4" location="SU_A0800" display="SU_A0800"/>
  </hyperlinks>
  <pageMargins left="0.70866141732283472" right="0.70866141732283472" top="0.74803149606299213" bottom="0.74803149606299213" header="0.31496062992125984" footer="0.31496062992125984"/>
  <pageSetup paperSize="9" scale="59" fitToHeight="99" orientation="landscape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view="pageLayout" zoomScale="70" zoomScaleNormal="80" zoomScalePageLayoutView="70" workbookViewId="0">
      <selection activeCell="E32" sqref="E32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SU_08002_m+SU_08002_p</f>
        <v>2.0644187499999997</v>
      </c>
      <c r="O2" s="62"/>
    </row>
    <row r="3" spans="1:16" x14ac:dyDescent="0.3">
      <c r="A3" s="102" t="s">
        <v>3</v>
      </c>
      <c r="B3" s="16" t="str">
        <f>'SU A0800'!B3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A0800'!B4</f>
        <v>Rear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4.1288374999999995</v>
      </c>
      <c r="O5" s="62"/>
    </row>
    <row r="6" spans="1:16" x14ac:dyDescent="0.3">
      <c r="A6" s="102" t="s">
        <v>7</v>
      </c>
      <c r="B6" t="s">
        <v>448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ht="28.8" x14ac:dyDescent="0.3">
      <c r="A11" s="778">
        <v>10</v>
      </c>
      <c r="B11" s="676" t="s">
        <v>375</v>
      </c>
      <c r="C11" s="20" t="s">
        <v>416</v>
      </c>
      <c r="D11" s="283">
        <v>2.25</v>
      </c>
      <c r="E11" s="779">
        <f>L11*J11*K11</f>
        <v>0.15307499999999999</v>
      </c>
      <c r="F11" s="20" t="s">
        <v>212</v>
      </c>
      <c r="G11" s="20"/>
      <c r="H11" s="284"/>
      <c r="I11" s="841" t="s">
        <v>449</v>
      </c>
      <c r="J11" s="780">
        <f>100*65*10^-6</f>
        <v>6.4999999999999997E-3</v>
      </c>
      <c r="K11" s="679">
        <v>3.0000000000000001E-3</v>
      </c>
      <c r="L11" s="680">
        <v>7850</v>
      </c>
      <c r="M11" s="23">
        <v>1</v>
      </c>
      <c r="N11" s="283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1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26">
        <v>10</v>
      </c>
      <c r="B15" s="842" t="s">
        <v>418</v>
      </c>
      <c r="C15" s="811" t="s">
        <v>419</v>
      </c>
      <c r="D15" s="809">
        <v>1.3</v>
      </c>
      <c r="E15" s="811" t="s">
        <v>35</v>
      </c>
      <c r="F15" s="811">
        <v>1</v>
      </c>
      <c r="G15" s="811" t="s">
        <v>420</v>
      </c>
      <c r="H15" s="811">
        <v>0.25</v>
      </c>
      <c r="I15" s="809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26">
        <v>20</v>
      </c>
      <c r="B16" s="811" t="s">
        <v>421</v>
      </c>
      <c r="C16" s="811" t="s">
        <v>422</v>
      </c>
      <c r="D16" s="809">
        <v>0.01</v>
      </c>
      <c r="E16" s="811" t="s">
        <v>40</v>
      </c>
      <c r="F16" s="811">
        <v>46.5</v>
      </c>
      <c r="G16" s="811" t="s">
        <v>413</v>
      </c>
      <c r="H16" s="811">
        <v>3</v>
      </c>
      <c r="I16" s="809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70866141732283472" right="0.70866141732283472" top="0.74803149606299213" bottom="0.74803149606299213" header="0.31496062992125984" footer="0.31496062992125984"/>
  <pageSetup paperSize="9" scale="58" fitToHeight="99" orientation="landscape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1" t="s">
        <v>453</v>
      </c>
    </row>
  </sheetData>
  <hyperlinks>
    <hyperlink ref="B1" location="SU_08002" display="SU_08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827" t="s">
        <v>0</v>
      </c>
      <c r="B2" s="16" t="s">
        <v>37</v>
      </c>
      <c r="C2" s="797"/>
      <c r="D2" s="797"/>
      <c r="E2" s="797"/>
      <c r="F2" s="798" t="s">
        <v>126</v>
      </c>
      <c r="G2" s="797"/>
      <c r="H2" s="797"/>
      <c r="I2" s="797"/>
      <c r="J2" s="828" t="s">
        <v>1</v>
      </c>
      <c r="K2" s="800">
        <v>81</v>
      </c>
      <c r="L2" s="797"/>
      <c r="M2" s="829" t="s">
        <v>16</v>
      </c>
      <c r="N2" s="801">
        <f>SU_08003_m+SU_08003_p</f>
        <v>3.3779399999999997</v>
      </c>
      <c r="O2" s="270"/>
    </row>
    <row r="3" spans="1:15" x14ac:dyDescent="0.3">
      <c r="A3" s="830" t="s">
        <v>3</v>
      </c>
      <c r="B3" s="16" t="str">
        <f>'SU A0800'!B3</f>
        <v>Suspension &amp; Shocks</v>
      </c>
      <c r="C3" s="797"/>
      <c r="D3" s="829" t="s">
        <v>6</v>
      </c>
      <c r="E3" s="797"/>
      <c r="F3" s="797"/>
      <c r="G3" s="797"/>
      <c r="H3" s="797"/>
      <c r="I3" s="797"/>
      <c r="J3" s="797"/>
      <c r="K3" s="797"/>
      <c r="L3" s="797"/>
      <c r="M3" s="831" t="s">
        <v>4</v>
      </c>
      <c r="N3" s="802">
        <v>1</v>
      </c>
      <c r="O3" s="270"/>
    </row>
    <row r="4" spans="1:15" x14ac:dyDescent="0.3">
      <c r="A4" s="830" t="s">
        <v>5</v>
      </c>
      <c r="B4" s="88" t="str">
        <f>'SU A0800'!B4</f>
        <v>Rear Bell Crank</v>
      </c>
      <c r="C4" s="797"/>
      <c r="D4" s="831" t="s">
        <v>8</v>
      </c>
      <c r="E4" s="797"/>
      <c r="F4" s="797"/>
      <c r="G4" s="797"/>
      <c r="H4" s="797"/>
      <c r="I4" s="797"/>
      <c r="J4" s="829" t="s">
        <v>6</v>
      </c>
      <c r="K4" s="797"/>
      <c r="L4" s="797"/>
      <c r="M4" s="797"/>
      <c r="N4" s="797"/>
      <c r="O4" s="270"/>
    </row>
    <row r="5" spans="1:15" x14ac:dyDescent="0.3">
      <c r="A5" s="830" t="s">
        <v>15</v>
      </c>
      <c r="B5" s="747" t="s">
        <v>441</v>
      </c>
      <c r="C5" s="797"/>
      <c r="D5" s="831" t="s">
        <v>12</v>
      </c>
      <c r="E5" s="797"/>
      <c r="F5" s="797"/>
      <c r="G5" s="797"/>
      <c r="H5" s="797"/>
      <c r="I5" s="797"/>
      <c r="J5" s="831" t="s">
        <v>8</v>
      </c>
      <c r="K5" s="797"/>
      <c r="L5" s="797"/>
      <c r="M5" s="829" t="s">
        <v>9</v>
      </c>
      <c r="N5" s="801">
        <f>N2*N3</f>
        <v>3.3779399999999997</v>
      </c>
      <c r="O5" s="270"/>
    </row>
    <row r="6" spans="1:15" x14ac:dyDescent="0.3">
      <c r="A6" s="830" t="s">
        <v>7</v>
      </c>
      <c r="B6" t="s">
        <v>450</v>
      </c>
      <c r="C6" s="797"/>
      <c r="D6" s="797"/>
      <c r="E6" s="797"/>
      <c r="F6" s="797"/>
      <c r="G6" s="797"/>
      <c r="H6" s="797"/>
      <c r="I6" s="797"/>
      <c r="J6" s="831" t="s">
        <v>12</v>
      </c>
      <c r="K6" s="797"/>
      <c r="L6" s="797"/>
      <c r="M6" s="797"/>
      <c r="N6" s="797"/>
      <c r="O6" s="270"/>
    </row>
    <row r="7" spans="1:15" x14ac:dyDescent="0.3">
      <c r="A7" s="830" t="s">
        <v>10</v>
      </c>
      <c r="B7" s="16" t="s">
        <v>11</v>
      </c>
      <c r="C7" s="797"/>
      <c r="D7" s="797"/>
      <c r="E7" s="797"/>
      <c r="F7" s="797"/>
      <c r="G7" s="797"/>
      <c r="H7" s="797"/>
      <c r="I7" s="797"/>
      <c r="J7" s="797"/>
      <c r="K7" s="797"/>
      <c r="L7" s="797"/>
      <c r="M7" s="797"/>
      <c r="N7" s="797"/>
      <c r="O7" s="270"/>
    </row>
    <row r="8" spans="1:15" x14ac:dyDescent="0.3">
      <c r="A8" s="830" t="s">
        <v>13</v>
      </c>
      <c r="B8" s="16"/>
      <c r="C8" s="797"/>
      <c r="D8" s="797"/>
      <c r="E8" s="797"/>
      <c r="F8" s="797"/>
      <c r="G8" s="797"/>
      <c r="H8" s="797"/>
      <c r="I8" s="797"/>
      <c r="J8" s="797"/>
      <c r="K8" s="797"/>
      <c r="L8" s="797"/>
      <c r="M8" s="797"/>
      <c r="N8" s="797"/>
      <c r="O8" s="270"/>
    </row>
    <row r="9" spans="1:15" x14ac:dyDescent="0.3">
      <c r="A9" s="803"/>
      <c r="B9" s="797"/>
      <c r="C9" s="797"/>
      <c r="D9" s="797"/>
      <c r="E9" s="797"/>
      <c r="F9" s="797"/>
      <c r="G9" s="797"/>
      <c r="H9" s="797"/>
      <c r="I9" s="797"/>
      <c r="J9" s="797"/>
      <c r="K9" s="797"/>
      <c r="L9" s="797"/>
      <c r="M9" s="797"/>
      <c r="N9" s="797"/>
      <c r="O9" s="270"/>
    </row>
    <row r="10" spans="1:15" x14ac:dyDescent="0.3">
      <c r="A10" s="832" t="s">
        <v>14</v>
      </c>
      <c r="B10" s="833" t="s">
        <v>19</v>
      </c>
      <c r="C10" s="833" t="s">
        <v>20</v>
      </c>
      <c r="D10" s="834" t="s">
        <v>21</v>
      </c>
      <c r="E10" s="834" t="s">
        <v>22</v>
      </c>
      <c r="F10" s="834" t="s">
        <v>23</v>
      </c>
      <c r="G10" s="834" t="s">
        <v>24</v>
      </c>
      <c r="H10" s="834" t="s">
        <v>25</v>
      </c>
      <c r="I10" s="834" t="s">
        <v>26</v>
      </c>
      <c r="J10" s="834" t="s">
        <v>27</v>
      </c>
      <c r="K10" s="834" t="s">
        <v>28</v>
      </c>
      <c r="L10" s="834" t="s">
        <v>29</v>
      </c>
      <c r="M10" s="834" t="s">
        <v>17</v>
      </c>
      <c r="N10" s="834" t="s">
        <v>18</v>
      </c>
      <c r="O10" s="270"/>
    </row>
    <row r="11" spans="1:15" x14ac:dyDescent="0.3">
      <c r="A11" s="835">
        <v>10</v>
      </c>
      <c r="B11" s="777" t="s">
        <v>375</v>
      </c>
      <c r="C11" s="836" t="s">
        <v>376</v>
      </c>
      <c r="D11" s="809">
        <v>2.25</v>
      </c>
      <c r="E11" s="810">
        <f>J11*K11*L11</f>
        <v>0.36423999999999995</v>
      </c>
      <c r="F11" s="811" t="s">
        <v>212</v>
      </c>
      <c r="G11" s="811"/>
      <c r="H11" s="812"/>
      <c r="I11" s="813" t="s">
        <v>451</v>
      </c>
      <c r="J11" s="813">
        <f>50*58*10^-6</f>
        <v>2.8999999999999998E-3</v>
      </c>
      <c r="K11" s="814">
        <v>1.6E-2</v>
      </c>
      <c r="L11" s="815">
        <v>7850</v>
      </c>
      <c r="M11" s="815">
        <v>1</v>
      </c>
      <c r="N11" s="809">
        <f>D11*E11*M11</f>
        <v>0.81953999999999994</v>
      </c>
      <c r="O11" s="270"/>
    </row>
    <row r="12" spans="1:15" x14ac:dyDescent="0.3">
      <c r="A12" s="816"/>
      <c r="B12" s="817"/>
      <c r="C12" s="817"/>
      <c r="D12" s="817"/>
      <c r="E12" s="817"/>
      <c r="F12" s="817"/>
      <c r="G12" s="817"/>
      <c r="H12" s="817"/>
      <c r="I12" s="817"/>
      <c r="J12" s="817"/>
      <c r="K12" s="817"/>
      <c r="L12" s="817"/>
      <c r="M12" s="837" t="s">
        <v>18</v>
      </c>
      <c r="N12" s="838">
        <f>N11</f>
        <v>0.81953999999999994</v>
      </c>
      <c r="O12" s="270"/>
    </row>
    <row r="13" spans="1:15" x14ac:dyDescent="0.3">
      <c r="A13" s="803"/>
      <c r="B13" s="797"/>
      <c r="C13" s="797"/>
      <c r="D13" s="797"/>
      <c r="E13" s="797"/>
      <c r="F13" s="797"/>
      <c r="G13" s="797"/>
      <c r="H13" s="797"/>
      <c r="I13" s="797"/>
      <c r="J13" s="797"/>
      <c r="K13" s="797"/>
      <c r="L13" s="797"/>
      <c r="M13" s="797"/>
      <c r="N13" s="797"/>
      <c r="O13" s="270"/>
    </row>
    <row r="14" spans="1:15" x14ac:dyDescent="0.3">
      <c r="A14" s="839" t="s">
        <v>14</v>
      </c>
      <c r="B14" s="834" t="s">
        <v>31</v>
      </c>
      <c r="C14" s="834" t="s">
        <v>20</v>
      </c>
      <c r="D14" s="834" t="s">
        <v>21</v>
      </c>
      <c r="E14" s="834" t="s">
        <v>32</v>
      </c>
      <c r="F14" s="834" t="s">
        <v>17</v>
      </c>
      <c r="G14" s="834" t="s">
        <v>33</v>
      </c>
      <c r="H14" s="834" t="s">
        <v>34</v>
      </c>
      <c r="I14" s="834" t="s">
        <v>18</v>
      </c>
      <c r="J14" s="817"/>
      <c r="K14" s="817"/>
      <c r="L14" s="817"/>
      <c r="M14" s="817"/>
      <c r="N14" s="817"/>
      <c r="O14" s="270"/>
    </row>
    <row r="15" spans="1:15" x14ac:dyDescent="0.3">
      <c r="A15" s="820">
        <v>10</v>
      </c>
      <c r="B15" s="811" t="s">
        <v>418</v>
      </c>
      <c r="C15" s="811" t="s">
        <v>419</v>
      </c>
      <c r="D15" s="809">
        <v>1.3</v>
      </c>
      <c r="E15" s="811" t="s">
        <v>35</v>
      </c>
      <c r="F15" s="811">
        <v>1</v>
      </c>
      <c r="G15" s="811" t="s">
        <v>452</v>
      </c>
      <c r="H15" s="811">
        <v>0.5</v>
      </c>
      <c r="I15" s="809">
        <f>D15*F15*H15</f>
        <v>0.65</v>
      </c>
      <c r="J15" s="797"/>
      <c r="K15" s="797"/>
      <c r="L15" s="797"/>
      <c r="M15" s="797"/>
      <c r="N15" s="797"/>
      <c r="O15" s="270"/>
    </row>
    <row r="16" spans="1:15" x14ac:dyDescent="0.3">
      <c r="A16" s="820">
        <v>20</v>
      </c>
      <c r="B16" s="811" t="s">
        <v>421</v>
      </c>
      <c r="C16" s="811" t="s">
        <v>422</v>
      </c>
      <c r="D16" s="809">
        <v>0.01</v>
      </c>
      <c r="E16" s="811" t="s">
        <v>40</v>
      </c>
      <c r="F16" s="811">
        <v>20</v>
      </c>
      <c r="G16" s="811" t="s">
        <v>413</v>
      </c>
      <c r="H16" s="811">
        <v>3</v>
      </c>
      <c r="I16" s="809">
        <f>D16*F16*H16</f>
        <v>0.60000000000000009</v>
      </c>
      <c r="J16" s="797"/>
      <c r="K16" s="797"/>
      <c r="L16" s="797"/>
      <c r="M16" s="797"/>
      <c r="N16" s="797"/>
      <c r="O16" s="270"/>
    </row>
    <row r="17" spans="1:15" x14ac:dyDescent="0.3">
      <c r="A17" s="820">
        <v>30</v>
      </c>
      <c r="B17" s="811" t="s">
        <v>39</v>
      </c>
      <c r="C17" s="811"/>
      <c r="D17" s="809">
        <v>1.3</v>
      </c>
      <c r="E17" s="811" t="s">
        <v>35</v>
      </c>
      <c r="F17" s="811">
        <v>1</v>
      </c>
      <c r="G17" s="811"/>
      <c r="H17" s="811"/>
      <c r="I17" s="809">
        <v>1.3</v>
      </c>
      <c r="J17" s="817"/>
      <c r="K17" s="817"/>
      <c r="L17" s="817"/>
      <c r="M17" s="817"/>
      <c r="N17" s="817"/>
      <c r="O17" s="270"/>
    </row>
    <row r="18" spans="1:15" x14ac:dyDescent="0.3">
      <c r="A18" s="820">
        <v>40</v>
      </c>
      <c r="B18" s="811" t="s">
        <v>427</v>
      </c>
      <c r="C18" s="811" t="s">
        <v>409</v>
      </c>
      <c r="D18" s="809">
        <v>0.04</v>
      </c>
      <c r="E18" s="811" t="s">
        <v>161</v>
      </c>
      <c r="F18" s="811">
        <v>7.0000000000000007E-2</v>
      </c>
      <c r="G18" s="811" t="s">
        <v>413</v>
      </c>
      <c r="H18" s="811">
        <v>3</v>
      </c>
      <c r="I18" s="809">
        <f>D18*F18*H18</f>
        <v>8.4000000000000012E-3</v>
      </c>
      <c r="J18" s="797"/>
      <c r="K18" s="797"/>
      <c r="L18" s="797"/>
      <c r="M18" s="797"/>
      <c r="N18" s="797"/>
      <c r="O18" s="270"/>
    </row>
    <row r="19" spans="1:15" x14ac:dyDescent="0.3">
      <c r="A19" s="816"/>
      <c r="B19" s="817"/>
      <c r="C19" s="817"/>
      <c r="D19" s="817"/>
      <c r="E19" s="817"/>
      <c r="F19" s="817"/>
      <c r="G19" s="817"/>
      <c r="H19" s="837" t="s">
        <v>18</v>
      </c>
      <c r="I19" s="840">
        <f>SUM(I15:I18)</f>
        <v>2.5583999999999998</v>
      </c>
      <c r="J19" s="56"/>
      <c r="K19" s="56"/>
      <c r="L19" s="56"/>
      <c r="M19" s="56"/>
      <c r="N19" s="56"/>
      <c r="O19" s="270"/>
    </row>
    <row r="20" spans="1:15" x14ac:dyDescent="0.3">
      <c r="A20" s="803"/>
      <c r="B20" s="797"/>
      <c r="C20" s="797"/>
      <c r="D20" s="797"/>
      <c r="E20" s="797"/>
      <c r="F20" s="797"/>
      <c r="G20" s="797"/>
      <c r="H20" s="800"/>
      <c r="I20" s="801"/>
      <c r="J20" s="56"/>
      <c r="K20" s="56"/>
      <c r="L20" s="56"/>
      <c r="M20" s="56"/>
      <c r="N20" s="56"/>
      <c r="O20" s="270"/>
    </row>
    <row r="21" spans="1:15" ht="15" thickBot="1" x14ac:dyDescent="0.35">
      <c r="A21" s="290"/>
      <c r="B21" s="291"/>
      <c r="C21" s="291"/>
      <c r="D21" s="291"/>
      <c r="E21" s="291"/>
      <c r="F21" s="291"/>
      <c r="G21" s="291"/>
      <c r="H21" s="291"/>
      <c r="I21" s="291"/>
      <c r="J21" s="291"/>
      <c r="K21" s="291"/>
      <c r="L21" s="291"/>
      <c r="M21" s="291"/>
      <c r="N21" s="291"/>
      <c r="O21" s="292"/>
    </row>
  </sheetData>
  <hyperlinks>
    <hyperlink ref="F2" location="BOM!A1" display="Back to BOM"/>
    <hyperlink ref="B4" location="SU_A0800" display="SU_A0800"/>
  </hyperlinks>
  <pageMargins left="0.70866141732283472" right="0.70866141732283472" top="0.74803149606299213" bottom="0.74803149606299213" header="0.31496062992125984" footer="0.31496062992125984"/>
  <pageSetup paperSize="9" scale="49" fitToHeight="99" orientation="landscape" r:id="rId1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 t="e">
        <f>SU_A1400_pa+SU_A1400_m+SU_A1400_p+SU_A1400_f</f>
        <v>#NAME?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477</v>
      </c>
      <c r="C4" s="715"/>
      <c r="D4" s="56"/>
      <c r="E4" s="56"/>
      <c r="F4" s="56"/>
      <c r="G4" s="56"/>
      <c r="H4" s="56"/>
      <c r="I4" s="56"/>
      <c r="J4" s="971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493</v>
      </c>
      <c r="C5" s="56"/>
      <c r="D5" s="56"/>
      <c r="E5" s="56"/>
      <c r="F5" s="56"/>
      <c r="G5" s="56"/>
      <c r="H5" s="56"/>
      <c r="I5" s="56"/>
      <c r="J5" s="971" t="s">
        <v>8</v>
      </c>
      <c r="K5" s="56"/>
      <c r="L5" s="56"/>
      <c r="M5" s="98" t="s">
        <v>9</v>
      </c>
      <c r="N5" s="80" t="e">
        <f>N2*SU_A1400_q</f>
        <v>#NAME?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71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497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4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2">
        <v>10</v>
      </c>
      <c r="B10" s="719" t="s">
        <v>476</v>
      </c>
      <c r="C10" s="283">
        <f>'SU 09001'!N2</f>
        <v>9.0687098494115101</v>
      </c>
      <c r="D10" s="843">
        <v>1</v>
      </c>
      <c r="E10" s="283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2">
        <v>20</v>
      </c>
      <c r="B11" s="719" t="s">
        <v>475</v>
      </c>
      <c r="C11" s="283">
        <f>'SU 09002'!N2</f>
        <v>1.6908095579918243</v>
      </c>
      <c r="D11" s="843">
        <v>2</v>
      </c>
      <c r="E11" s="283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2">
        <v>30</v>
      </c>
      <c r="B12" s="1052" t="str">
        <f>'SU 09003'!B5</f>
        <v>Spacer 1</v>
      </c>
      <c r="C12" s="283">
        <f>'SU 09004'!N2</f>
        <v>0.85844020273977284</v>
      </c>
      <c r="D12" s="844">
        <v>2</v>
      </c>
      <c r="E12" s="283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82">
        <v>40</v>
      </c>
      <c r="B13" s="1052" t="str">
        <f>'SU 09004'!B5</f>
        <v>Spacer 2</v>
      </c>
      <c r="C13" s="283">
        <f>'SU 09003'!N2</f>
        <v>0.75842010136988647</v>
      </c>
      <c r="D13" s="682">
        <v>2</v>
      </c>
      <c r="E13" s="283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887" t="s">
        <v>473</v>
      </c>
      <c r="C17" s="887" t="s">
        <v>474</v>
      </c>
      <c r="D17" s="278">
        <f>0.02*E17^2+1.22</f>
        <v>2.5</v>
      </c>
      <c r="E17" s="887">
        <v>8</v>
      </c>
      <c r="F17" s="887" t="s">
        <v>30</v>
      </c>
      <c r="G17" s="887"/>
      <c r="H17" s="885"/>
      <c r="I17" s="888" t="s">
        <v>471</v>
      </c>
      <c r="J17" s="883"/>
      <c r="K17" s="885"/>
      <c r="L17" s="885"/>
      <c r="M17" s="883">
        <v>1</v>
      </c>
      <c r="N17" s="280">
        <f>D17*M17</f>
        <v>2.5</v>
      </c>
      <c r="O17" s="62"/>
    </row>
    <row r="18" spans="1:15" s="22" customFormat="1" x14ac:dyDescent="0.3">
      <c r="A18" s="72">
        <v>20</v>
      </c>
      <c r="B18" s="887" t="s">
        <v>473</v>
      </c>
      <c r="C18" s="887" t="s">
        <v>472</v>
      </c>
      <c r="D18" s="278">
        <f>0.02*E18^2+1.22</f>
        <v>2.5</v>
      </c>
      <c r="E18" s="887">
        <v>8</v>
      </c>
      <c r="F18" s="887" t="s">
        <v>30</v>
      </c>
      <c r="G18" s="887"/>
      <c r="H18" s="885"/>
      <c r="I18" s="886" t="s">
        <v>471</v>
      </c>
      <c r="J18" s="883"/>
      <c r="K18" s="885"/>
      <c r="L18" s="884"/>
      <c r="M18" s="883">
        <v>1</v>
      </c>
      <c r="N18" s="280">
        <f>D18*M18</f>
        <v>2.5</v>
      </c>
      <c r="O18" s="66"/>
    </row>
    <row r="19" spans="1:15" x14ac:dyDescent="0.3">
      <c r="A19" s="67"/>
      <c r="B19" s="882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2" t="s">
        <v>142</v>
      </c>
      <c r="C22" s="880" t="s">
        <v>226</v>
      </c>
      <c r="D22" s="279">
        <v>0.02</v>
      </c>
      <c r="E22" s="880" t="s">
        <v>140</v>
      </c>
      <c r="F22" s="878">
        <v>6.6</v>
      </c>
      <c r="G22" s="881"/>
      <c r="H22" s="878">
        <v>1</v>
      </c>
      <c r="I22" s="279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82" t="s">
        <v>142</v>
      </c>
      <c r="C23" s="880" t="s">
        <v>470</v>
      </c>
      <c r="D23" s="279">
        <v>0.02</v>
      </c>
      <c r="E23" s="880" t="s">
        <v>140</v>
      </c>
      <c r="F23" s="878">
        <v>6.6</v>
      </c>
      <c r="G23" s="878"/>
      <c r="H23" s="878">
        <v>1</v>
      </c>
      <c r="I23" s="279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79" t="s">
        <v>469</v>
      </c>
      <c r="C24" s="877" t="s">
        <v>468</v>
      </c>
      <c r="D24" s="74">
        <v>0.02</v>
      </c>
      <c r="E24" s="877" t="s">
        <v>467</v>
      </c>
      <c r="F24" s="878">
        <v>6.6</v>
      </c>
      <c r="G24" s="877"/>
      <c r="H24" s="877">
        <v>1</v>
      </c>
      <c r="I24" s="279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55" t="s">
        <v>363</v>
      </c>
      <c r="C25" s="875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9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55" t="s">
        <v>465</v>
      </c>
      <c r="C26" s="875" t="s">
        <v>464</v>
      </c>
      <c r="D26" s="74">
        <v>0.5</v>
      </c>
      <c r="E26" s="876" t="s">
        <v>35</v>
      </c>
      <c r="F26" s="72">
        <v>2</v>
      </c>
      <c r="G26" s="72"/>
      <c r="H26" s="72">
        <v>1</v>
      </c>
      <c r="I26" s="279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55" t="s">
        <v>463</v>
      </c>
      <c r="C27" s="875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9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55" t="s">
        <v>368</v>
      </c>
      <c r="C28" s="875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9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75" t="s">
        <v>360</v>
      </c>
      <c r="C29" s="875" t="s">
        <v>462</v>
      </c>
      <c r="D29" s="874">
        <v>0.06</v>
      </c>
      <c r="E29" s="873" t="s">
        <v>35</v>
      </c>
      <c r="F29" s="873">
        <v>2</v>
      </c>
      <c r="G29" s="873"/>
      <c r="H29" s="873">
        <v>1</v>
      </c>
      <c r="I29" s="279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75" t="s">
        <v>360</v>
      </c>
      <c r="C30" s="875" t="s">
        <v>399</v>
      </c>
      <c r="D30" s="874">
        <v>0.06</v>
      </c>
      <c r="E30" s="873" t="s">
        <v>35</v>
      </c>
      <c r="F30" s="873">
        <v>2</v>
      </c>
      <c r="G30" s="873"/>
      <c r="H30" s="873">
        <v>1</v>
      </c>
      <c r="I30" s="279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55" t="s">
        <v>363</v>
      </c>
      <c r="C31" s="875" t="s">
        <v>461</v>
      </c>
      <c r="D31" s="874">
        <v>0.12</v>
      </c>
      <c r="E31" s="873" t="s">
        <v>35</v>
      </c>
      <c r="F31" s="873">
        <v>1</v>
      </c>
      <c r="G31" s="873"/>
      <c r="H31" s="873">
        <v>1</v>
      </c>
      <c r="I31" s="279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73" t="s">
        <v>360</v>
      </c>
      <c r="C32" s="875" t="s">
        <v>460</v>
      </c>
      <c r="D32" s="874">
        <v>0.06</v>
      </c>
      <c r="E32" s="873" t="s">
        <v>35</v>
      </c>
      <c r="F32" s="873">
        <v>2</v>
      </c>
      <c r="G32" s="873"/>
      <c r="H32" s="873">
        <v>1</v>
      </c>
      <c r="I32" s="279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73" t="s">
        <v>360</v>
      </c>
      <c r="C33" s="875" t="s">
        <v>459</v>
      </c>
      <c r="D33" s="874">
        <v>0.06</v>
      </c>
      <c r="E33" s="873" t="s">
        <v>35</v>
      </c>
      <c r="F33" s="873">
        <v>2</v>
      </c>
      <c r="G33" s="873"/>
      <c r="H33" s="873">
        <v>1</v>
      </c>
      <c r="I33" s="279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55" t="s">
        <v>363</v>
      </c>
      <c r="C34" s="875" t="s">
        <v>458</v>
      </c>
      <c r="D34" s="874">
        <v>0.12</v>
      </c>
      <c r="E34" s="873" t="s">
        <v>35</v>
      </c>
      <c r="F34" s="873">
        <v>1</v>
      </c>
      <c r="G34" s="873"/>
      <c r="H34" s="873">
        <v>1</v>
      </c>
      <c r="I34" s="279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55" t="s">
        <v>363</v>
      </c>
      <c r="C35" s="875" t="s">
        <v>365</v>
      </c>
      <c r="D35" s="874">
        <v>0.12</v>
      </c>
      <c r="E35" s="873" t="s">
        <v>35</v>
      </c>
      <c r="F35" s="873">
        <v>2</v>
      </c>
      <c r="G35" s="873"/>
      <c r="H35" s="873">
        <v>1</v>
      </c>
      <c r="I35" s="279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55" t="s">
        <v>366</v>
      </c>
      <c r="C36" s="875" t="s">
        <v>367</v>
      </c>
      <c r="D36" s="874">
        <v>0.75</v>
      </c>
      <c r="E36" s="873" t="s">
        <v>35</v>
      </c>
      <c r="F36" s="873">
        <v>2</v>
      </c>
      <c r="G36" s="873"/>
      <c r="H36" s="873">
        <v>1</v>
      </c>
      <c r="I36" s="279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55" t="s">
        <v>368</v>
      </c>
      <c r="C37" s="875" t="s">
        <v>367</v>
      </c>
      <c r="D37" s="874">
        <v>0.25</v>
      </c>
      <c r="E37" s="873" t="s">
        <v>35</v>
      </c>
      <c r="F37" s="873">
        <v>2</v>
      </c>
      <c r="G37" s="873"/>
      <c r="H37" s="873">
        <v>1</v>
      </c>
      <c r="I37" s="279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0">
        <f>0.8/105154*E41^2*G41*SQRT(G41)+0.003*EXP(0.319*E41)</f>
        <v>0.18547981844542938</v>
      </c>
      <c r="E41" s="671">
        <v>8</v>
      </c>
      <c r="F41" s="671" t="s">
        <v>30</v>
      </c>
      <c r="G41" s="671">
        <v>45</v>
      </c>
      <c r="H41" s="671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0">
        <f>0.8/105154*E42^2*G42*SQRT(G42)+0.003*EXP(0.319*E42)</f>
        <v>0.18547981844542938</v>
      </c>
      <c r="E42" s="671">
        <v>8</v>
      </c>
      <c r="F42" s="671" t="s">
        <v>30</v>
      </c>
      <c r="G42" s="671">
        <v>45</v>
      </c>
      <c r="H42" s="671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371</v>
      </c>
      <c r="C43" s="72"/>
      <c r="D43" s="670">
        <v>0.01</v>
      </c>
      <c r="E43" s="72">
        <v>8</v>
      </c>
      <c r="F43" s="672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372</v>
      </c>
      <c r="C44" s="72" t="s">
        <v>455</v>
      </c>
      <c r="D44" s="670">
        <f>0.009*EXP(0.2*E44)</f>
        <v>2.9881052304628931E-2</v>
      </c>
      <c r="E44" s="72">
        <v>6</v>
      </c>
      <c r="F44" s="672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372</v>
      </c>
      <c r="C45" s="72" t="s">
        <v>454</v>
      </c>
      <c r="D45" s="670">
        <f>0.009*EXP(0.2*E45)</f>
        <v>4.4577291819556032E-2</v>
      </c>
      <c r="E45" s="72">
        <v>8</v>
      </c>
      <c r="F45" s="672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ageMargins left="0.70866141732283472" right="0.70866141732283472" top="0.74803149606299213" bottom="0.74803149606299213" header="0.31496062992125984" footer="0.31496062992125984"/>
  <pageSetup paperSize="9" scale="65" firstPageNumber="0" fitToHeight="99" orientation="landscape" r:id="rId1"/>
  <rowBreaks count="1" manualBreakCount="1">
    <brk id="48" max="16383" man="1"/>
  </rowBreaks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79"/>
  <sheetViews>
    <sheetView view="pageLayout" zoomScale="70" zoomScaleNormal="90" zoomScalePageLayoutView="70" workbookViewId="0">
      <selection activeCell="E32" sqref="E32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936" t="s">
        <v>0</v>
      </c>
      <c r="B2" s="16" t="s">
        <v>37</v>
      </c>
      <c r="C2" s="930"/>
      <c r="D2" s="930"/>
      <c r="E2" s="930"/>
      <c r="F2" s="88" t="s">
        <v>126</v>
      </c>
      <c r="G2" s="930"/>
      <c r="H2" s="930"/>
      <c r="I2" s="930"/>
      <c r="J2" s="909" t="s">
        <v>1</v>
      </c>
      <c r="K2" s="935">
        <v>81</v>
      </c>
      <c r="L2" s="930"/>
      <c r="M2" s="908" t="s">
        <v>16</v>
      </c>
      <c r="N2" s="933">
        <f>N12+I16</f>
        <v>9.0687098494115101</v>
      </c>
      <c r="O2" s="270"/>
    </row>
    <row r="3" spans="1:15" x14ac:dyDescent="0.3">
      <c r="A3" s="932" t="s">
        <v>3</v>
      </c>
      <c r="B3" s="16" t="str">
        <f>'SU A0900'!B3</f>
        <v>Suspension &amp; Shocks</v>
      </c>
      <c r="C3" s="930"/>
      <c r="D3" s="908" t="s">
        <v>6</v>
      </c>
      <c r="E3" s="88"/>
      <c r="F3" s="930"/>
      <c r="G3" s="930"/>
      <c r="H3" s="930"/>
      <c r="I3" s="930"/>
      <c r="J3" s="930"/>
      <c r="K3" s="930"/>
      <c r="L3" s="930"/>
      <c r="M3" s="907" t="s">
        <v>4</v>
      </c>
      <c r="N3" s="934">
        <v>1</v>
      </c>
      <c r="O3" s="270"/>
    </row>
    <row r="4" spans="1:15" x14ac:dyDescent="0.3">
      <c r="A4" s="932" t="s">
        <v>5</v>
      </c>
      <c r="B4" s="88" t="str">
        <f>'SU A0900'!B4</f>
        <v>Front Pullrod</v>
      </c>
      <c r="C4" s="930"/>
      <c r="D4" s="907" t="s">
        <v>8</v>
      </c>
      <c r="E4" s="930"/>
      <c r="F4" s="930"/>
      <c r="G4" s="930"/>
      <c r="H4" s="930"/>
      <c r="I4" s="930"/>
      <c r="J4" s="908" t="s">
        <v>6</v>
      </c>
      <c r="K4" s="930"/>
      <c r="L4" s="930"/>
      <c r="M4" s="930"/>
      <c r="N4" s="930"/>
      <c r="O4" s="270"/>
    </row>
    <row r="5" spans="1:15" x14ac:dyDescent="0.3">
      <c r="A5" s="932" t="s">
        <v>15</v>
      </c>
      <c r="B5" s="747" t="s">
        <v>496</v>
      </c>
      <c r="C5" s="930"/>
      <c r="D5" s="907" t="s">
        <v>12</v>
      </c>
      <c r="E5" s="930"/>
      <c r="F5" s="930"/>
      <c r="G5" s="930"/>
      <c r="H5" s="930"/>
      <c r="I5" s="930"/>
      <c r="J5" s="907" t="s">
        <v>8</v>
      </c>
      <c r="K5" s="930"/>
      <c r="L5" s="930"/>
      <c r="M5" s="908" t="s">
        <v>9</v>
      </c>
      <c r="N5" s="933">
        <f>N2*N3</f>
        <v>9.0687098494115101</v>
      </c>
      <c r="O5" s="270"/>
    </row>
    <row r="6" spans="1:15" x14ac:dyDescent="0.3">
      <c r="A6" s="932" t="s">
        <v>7</v>
      </c>
      <c r="B6" t="s">
        <v>494</v>
      </c>
      <c r="C6" s="930"/>
      <c r="D6" s="930"/>
      <c r="E6" s="930"/>
      <c r="F6" s="930"/>
      <c r="G6" s="930"/>
      <c r="H6" s="930"/>
      <c r="I6" s="930"/>
      <c r="J6" s="907" t="s">
        <v>12</v>
      </c>
      <c r="K6" s="930"/>
      <c r="L6" s="930"/>
      <c r="M6" s="930"/>
      <c r="N6" s="930"/>
      <c r="O6" s="270"/>
    </row>
    <row r="7" spans="1:15" x14ac:dyDescent="0.3">
      <c r="A7" s="932" t="s">
        <v>10</v>
      </c>
      <c r="B7" s="16" t="s">
        <v>11</v>
      </c>
      <c r="C7" s="930"/>
      <c r="D7" s="930"/>
      <c r="E7" s="930"/>
      <c r="F7" s="930"/>
      <c r="G7" s="930"/>
      <c r="H7" s="930"/>
      <c r="I7" s="930"/>
      <c r="J7" s="930"/>
      <c r="K7" s="930"/>
      <c r="L7" s="930"/>
      <c r="M7" s="930"/>
      <c r="N7" s="930"/>
      <c r="O7" s="270"/>
    </row>
    <row r="8" spans="1:15" x14ac:dyDescent="0.3">
      <c r="A8" s="932" t="s">
        <v>13</v>
      </c>
      <c r="B8" s="16"/>
      <c r="C8" s="930"/>
      <c r="D8" s="930"/>
      <c r="E8" s="930"/>
      <c r="F8" s="930"/>
      <c r="G8" s="930"/>
      <c r="H8" s="930"/>
      <c r="I8" s="930"/>
      <c r="J8" s="930"/>
      <c r="K8" s="930"/>
      <c r="L8" s="930"/>
      <c r="M8" s="930"/>
      <c r="N8" s="930"/>
      <c r="O8" s="270"/>
    </row>
    <row r="9" spans="1:15" x14ac:dyDescent="0.3">
      <c r="A9" s="931"/>
      <c r="B9" s="930"/>
      <c r="C9" s="930"/>
      <c r="D9" s="930"/>
      <c r="E9" s="930"/>
      <c r="F9" s="930"/>
      <c r="G9" s="930"/>
      <c r="H9" s="930"/>
      <c r="I9" s="930"/>
      <c r="J9" s="930"/>
      <c r="K9" s="930"/>
      <c r="L9" s="930"/>
      <c r="M9" s="930"/>
      <c r="N9" s="930"/>
      <c r="O9" s="270"/>
    </row>
    <row r="10" spans="1:15" x14ac:dyDescent="0.3">
      <c r="A10" s="925" t="s">
        <v>14</v>
      </c>
      <c r="B10" s="897" t="s">
        <v>19</v>
      </c>
      <c r="C10" s="897" t="s">
        <v>20</v>
      </c>
      <c r="D10" s="897" t="s">
        <v>21</v>
      </c>
      <c r="E10" s="897" t="s">
        <v>22</v>
      </c>
      <c r="F10" s="897" t="s">
        <v>23</v>
      </c>
      <c r="G10" s="897" t="s">
        <v>24</v>
      </c>
      <c r="H10" s="897" t="s">
        <v>25</v>
      </c>
      <c r="I10" s="897" t="s">
        <v>26</v>
      </c>
      <c r="J10" s="897" t="s">
        <v>27</v>
      </c>
      <c r="K10" s="897" t="s">
        <v>28</v>
      </c>
      <c r="L10" s="897" t="s">
        <v>29</v>
      </c>
      <c r="M10" s="897" t="s">
        <v>17</v>
      </c>
      <c r="N10" s="897" t="s">
        <v>18</v>
      </c>
      <c r="O10" s="270"/>
    </row>
    <row r="11" spans="1:15" ht="15" customHeight="1" x14ac:dyDescent="0.3">
      <c r="A11" s="972">
        <v>10</v>
      </c>
      <c r="B11" s="807" t="s">
        <v>482</v>
      </c>
      <c r="C11" s="906" t="s">
        <v>481</v>
      </c>
      <c r="D11" s="899">
        <v>200</v>
      </c>
      <c r="E11" s="905">
        <f>J11*K11*L11</f>
        <v>4.0305377108495605E-2</v>
      </c>
      <c r="F11" s="904" t="s">
        <v>212</v>
      </c>
      <c r="G11" s="904"/>
      <c r="H11" s="903"/>
      <c r="I11" s="902" t="s">
        <v>480</v>
      </c>
      <c r="J11" s="902">
        <f>PI()*((8*10^-3)^2-(6*10^-3)^2)</f>
        <v>8.7964594300514196E-5</v>
      </c>
      <c r="K11" s="901">
        <v>0.28999999999999998</v>
      </c>
      <c r="L11" s="900">
        <v>1580</v>
      </c>
      <c r="M11" s="900">
        <v>1</v>
      </c>
      <c r="N11" s="899">
        <f>D11*E11</f>
        <v>8.0610754216991207</v>
      </c>
      <c r="O11" s="270"/>
    </row>
    <row r="12" spans="1:15" x14ac:dyDescent="0.3">
      <c r="A12" s="916"/>
      <c r="B12" s="915"/>
      <c r="C12" s="915"/>
      <c r="D12" s="915"/>
      <c r="E12" s="915"/>
      <c r="F12" s="915"/>
      <c r="G12" s="915"/>
      <c r="H12" s="915"/>
      <c r="I12" s="915"/>
      <c r="J12" s="915"/>
      <c r="K12" s="915"/>
      <c r="L12" s="915"/>
      <c r="M12" s="892" t="s">
        <v>18</v>
      </c>
      <c r="N12" s="898">
        <f>N11</f>
        <v>8.0610754216991207</v>
      </c>
      <c r="O12" s="270"/>
    </row>
    <row r="13" spans="1:15" x14ac:dyDescent="0.3">
      <c r="A13" s="931"/>
      <c r="B13" s="930"/>
      <c r="C13" s="930"/>
      <c r="D13" s="930"/>
      <c r="E13" s="930"/>
      <c r="F13" s="930"/>
      <c r="G13" s="930"/>
      <c r="H13" s="930"/>
      <c r="I13" s="930"/>
      <c r="J13" s="930"/>
      <c r="K13" s="930"/>
      <c r="L13" s="930"/>
      <c r="M13" s="930"/>
      <c r="N13" s="930"/>
      <c r="O13" s="270"/>
    </row>
    <row r="14" spans="1:15" x14ac:dyDescent="0.3">
      <c r="A14" s="925" t="s">
        <v>14</v>
      </c>
      <c r="B14" s="897" t="s">
        <v>31</v>
      </c>
      <c r="C14" s="897" t="s">
        <v>20</v>
      </c>
      <c r="D14" s="897" t="s">
        <v>21</v>
      </c>
      <c r="E14" s="897" t="s">
        <v>32</v>
      </c>
      <c r="F14" s="897" t="s">
        <v>17</v>
      </c>
      <c r="G14" s="897" t="s">
        <v>33</v>
      </c>
      <c r="H14" s="897" t="s">
        <v>34</v>
      </c>
      <c r="I14" s="897" t="s">
        <v>18</v>
      </c>
      <c r="J14" s="915"/>
      <c r="K14" s="915"/>
      <c r="L14" s="915"/>
      <c r="M14" s="915"/>
      <c r="N14" s="915"/>
      <c r="O14" s="270"/>
    </row>
    <row r="15" spans="1:15" x14ac:dyDescent="0.3">
      <c r="A15" s="973">
        <v>10</v>
      </c>
      <c r="B15" s="255" t="s">
        <v>479</v>
      </c>
      <c r="C15" s="895" t="s">
        <v>478</v>
      </c>
      <c r="D15" s="259">
        <v>25</v>
      </c>
      <c r="E15" s="255" t="s">
        <v>212</v>
      </c>
      <c r="F15" s="894">
        <f>E11</f>
        <v>4.0305377108495605E-2</v>
      </c>
      <c r="G15" s="893"/>
      <c r="H15" s="893"/>
      <c r="I15" s="32">
        <f>D15*F15</f>
        <v>1.0076344277123901</v>
      </c>
      <c r="J15" s="930"/>
      <c r="K15" s="930"/>
      <c r="L15" s="930"/>
      <c r="M15" s="930"/>
      <c r="N15" s="930"/>
      <c r="O15" s="270"/>
    </row>
    <row r="16" spans="1:15" x14ac:dyDescent="0.3">
      <c r="A16" s="916"/>
      <c r="B16" s="915"/>
      <c r="C16" s="915"/>
      <c r="D16" s="915"/>
      <c r="E16" s="915"/>
      <c r="F16" s="915"/>
      <c r="G16" s="915"/>
      <c r="H16" s="892" t="s">
        <v>18</v>
      </c>
      <c r="I16" s="891">
        <f>I15</f>
        <v>1.0076344277123901</v>
      </c>
      <c r="J16" s="915"/>
      <c r="K16" s="915"/>
      <c r="L16" s="915"/>
      <c r="M16" s="915"/>
      <c r="N16" s="915"/>
      <c r="O16" s="270"/>
    </row>
    <row r="17" spans="1:15" ht="15" thickBot="1" x14ac:dyDescent="0.35">
      <c r="A17" s="974"/>
      <c r="B17" s="975"/>
      <c r="C17" s="975"/>
      <c r="D17" s="975"/>
      <c r="E17" s="975"/>
      <c r="F17" s="975"/>
      <c r="G17" s="975"/>
      <c r="H17" s="976"/>
      <c r="I17" s="977"/>
      <c r="J17" s="975"/>
      <c r="K17" s="975"/>
      <c r="L17" s="975"/>
      <c r="M17" s="975"/>
      <c r="N17" s="975"/>
      <c r="O17" s="292"/>
    </row>
    <row r="18" spans="1:15" x14ac:dyDescent="0.3">
      <c r="A18" s="889"/>
      <c r="B18" s="889"/>
      <c r="C18" s="889"/>
      <c r="D18" s="889"/>
      <c r="E18" s="889"/>
      <c r="F18" s="889"/>
      <c r="G18" s="889"/>
      <c r="H18" s="889"/>
      <c r="I18" s="889"/>
      <c r="J18" s="889"/>
      <c r="K18" s="889"/>
      <c r="L18" s="889"/>
      <c r="M18" s="889"/>
      <c r="N18" s="889"/>
    </row>
    <row r="19" spans="1:15" x14ac:dyDescent="0.3">
      <c r="A19" s="889"/>
      <c r="B19" s="889"/>
      <c r="C19" s="889"/>
      <c r="D19" s="889"/>
      <c r="E19" s="889"/>
      <c r="F19" s="889"/>
      <c r="G19" s="889"/>
      <c r="H19" s="889"/>
      <c r="I19" s="889"/>
      <c r="J19" s="889"/>
      <c r="K19" s="889"/>
      <c r="L19" s="889"/>
      <c r="M19" s="889"/>
      <c r="N19" s="889"/>
    </row>
    <row r="20" spans="1:15" x14ac:dyDescent="0.3">
      <c r="A20" s="889"/>
      <c r="B20" s="889"/>
      <c r="C20" s="889"/>
      <c r="D20" s="889"/>
      <c r="E20" s="889"/>
      <c r="F20" s="889"/>
      <c r="G20" s="889"/>
      <c r="H20" s="889"/>
      <c r="I20" s="889"/>
      <c r="J20" s="889"/>
      <c r="K20" s="889"/>
      <c r="L20" s="889"/>
      <c r="M20" s="889"/>
      <c r="N20" s="889"/>
    </row>
    <row r="21" spans="1:15" x14ac:dyDescent="0.3">
      <c r="A21" s="889"/>
      <c r="B21" s="889"/>
      <c r="C21" s="889"/>
      <c r="D21" s="889"/>
      <c r="E21" s="889"/>
      <c r="F21" s="889"/>
      <c r="G21" s="889"/>
      <c r="H21" s="889"/>
      <c r="I21" s="889"/>
      <c r="J21" s="889"/>
      <c r="K21" s="889"/>
      <c r="L21" s="889"/>
      <c r="M21" s="889"/>
      <c r="N21" s="889"/>
    </row>
    <row r="22" spans="1:15" x14ac:dyDescent="0.3">
      <c r="A22" s="16"/>
      <c r="B22" s="889"/>
      <c r="C22" s="889"/>
      <c r="D22" s="889"/>
      <c r="E22" s="889"/>
      <c r="F22" s="889"/>
      <c r="G22" s="889"/>
      <c r="H22" s="889"/>
      <c r="I22" s="889"/>
      <c r="J22" s="889"/>
      <c r="K22" s="889"/>
      <c r="L22" s="889"/>
      <c r="M22" s="889"/>
      <c r="N22" s="889"/>
    </row>
    <row r="23" spans="1:15" x14ac:dyDescent="0.3">
      <c r="A23" s="16"/>
      <c r="B23" s="889"/>
      <c r="C23" s="889"/>
      <c r="D23" s="889"/>
      <c r="E23" s="889"/>
      <c r="F23" s="889"/>
      <c r="G23" s="889"/>
      <c r="H23" s="889"/>
      <c r="I23" s="889"/>
      <c r="J23" s="889"/>
      <c r="K23" s="889"/>
      <c r="L23" s="889"/>
      <c r="M23" s="889"/>
      <c r="N23" s="889"/>
    </row>
    <row r="24" spans="1:15" x14ac:dyDescent="0.3">
      <c r="A24" s="88"/>
      <c r="B24" s="889"/>
      <c r="C24" s="889"/>
      <c r="D24" s="889"/>
      <c r="E24" s="889"/>
      <c r="F24" s="889"/>
      <c r="G24" s="889"/>
      <c r="H24" s="889"/>
      <c r="I24" s="889"/>
      <c r="J24" s="889"/>
      <c r="K24" s="889"/>
      <c r="L24" s="889"/>
      <c r="M24" s="889"/>
      <c r="N24" s="889"/>
    </row>
    <row r="25" spans="1:15" x14ac:dyDescent="0.3">
      <c r="A25" s="18"/>
      <c r="B25" s="889"/>
      <c r="C25" s="889"/>
      <c r="D25" s="889"/>
      <c r="E25" s="889"/>
      <c r="F25" s="889"/>
      <c r="G25" s="889"/>
      <c r="H25" s="889"/>
      <c r="I25" s="889"/>
      <c r="J25" s="889"/>
      <c r="K25" s="889"/>
      <c r="L25" s="889"/>
      <c r="M25" s="889"/>
      <c r="N25" s="889"/>
    </row>
    <row r="26" spans="1:15" x14ac:dyDescent="0.3">
      <c r="A26" s="28"/>
      <c r="B26" s="889"/>
      <c r="C26" s="889"/>
      <c r="D26" s="889"/>
      <c r="E26" s="889"/>
      <c r="F26" s="889"/>
      <c r="G26" s="889"/>
      <c r="H26" s="889"/>
      <c r="I26" s="889"/>
      <c r="J26" s="889"/>
      <c r="K26" s="889"/>
      <c r="L26" s="889"/>
      <c r="M26" s="889"/>
      <c r="N26" s="889"/>
    </row>
    <row r="27" spans="1:15" x14ac:dyDescent="0.3">
      <c r="A27" s="16"/>
      <c r="B27" s="889"/>
      <c r="C27" s="889"/>
      <c r="D27" s="889"/>
      <c r="E27" s="889"/>
      <c r="F27" s="889"/>
      <c r="G27" s="889"/>
      <c r="H27" s="889"/>
      <c r="I27" s="889"/>
      <c r="J27" s="889"/>
      <c r="K27" s="889"/>
      <c r="L27" s="889"/>
      <c r="M27" s="889"/>
      <c r="N27" s="889"/>
    </row>
    <row r="28" spans="1:15" x14ac:dyDescent="0.3">
      <c r="A28" s="16"/>
      <c r="B28" s="889"/>
      <c r="C28" s="889"/>
      <c r="D28" s="889"/>
      <c r="E28" s="889"/>
      <c r="F28" s="889"/>
      <c r="G28" s="889"/>
      <c r="H28" s="889"/>
      <c r="I28" s="889"/>
      <c r="J28" s="889"/>
      <c r="K28" s="889"/>
      <c r="L28" s="889"/>
      <c r="M28" s="889"/>
      <c r="N28" s="889"/>
    </row>
    <row r="29" spans="1:15" x14ac:dyDescent="0.3">
      <c r="A29" s="889"/>
      <c r="B29" s="889"/>
      <c r="C29" s="889"/>
      <c r="D29" s="889"/>
      <c r="E29" s="889"/>
      <c r="F29" s="889"/>
      <c r="G29" s="889"/>
      <c r="H29" s="889"/>
      <c r="I29" s="889"/>
      <c r="J29" s="889"/>
      <c r="K29" s="889"/>
      <c r="L29" s="889"/>
      <c r="M29" s="889"/>
      <c r="N29" s="889"/>
    </row>
    <row r="30" spans="1:15" x14ac:dyDescent="0.3">
      <c r="A30" s="889"/>
      <c r="B30" s="889"/>
      <c r="C30" s="889"/>
      <c r="D30" s="889"/>
      <c r="E30" s="889"/>
      <c r="F30" s="889"/>
      <c r="G30" s="889"/>
      <c r="H30" s="889"/>
      <c r="I30" s="889"/>
      <c r="J30" s="889"/>
      <c r="K30" s="889"/>
      <c r="L30" s="889"/>
      <c r="M30" s="889"/>
      <c r="N30" s="889"/>
    </row>
    <row r="31" spans="1:15" x14ac:dyDescent="0.3">
      <c r="A31" s="889"/>
      <c r="B31" s="889"/>
      <c r="C31" s="889"/>
      <c r="D31" s="889"/>
      <c r="E31" s="889"/>
      <c r="F31" s="889"/>
      <c r="G31" s="889"/>
      <c r="H31" s="889"/>
      <c r="I31" s="889"/>
      <c r="J31" s="889"/>
      <c r="K31" s="889"/>
      <c r="L31" s="889"/>
      <c r="M31" s="889"/>
      <c r="N31" s="889"/>
    </row>
    <row r="32" spans="1:15" x14ac:dyDescent="0.3">
      <c r="A32" s="889"/>
      <c r="B32" s="889"/>
      <c r="C32" s="889"/>
      <c r="D32" s="889"/>
      <c r="E32" s="889"/>
      <c r="F32" s="889"/>
      <c r="G32" s="889"/>
      <c r="H32" s="889"/>
      <c r="I32" s="889"/>
      <c r="J32" s="889"/>
      <c r="K32" s="889"/>
      <c r="L32" s="889"/>
      <c r="M32" s="889"/>
      <c r="N32" s="889"/>
    </row>
    <row r="33" spans="1:14" x14ac:dyDescent="0.3">
      <c r="A33" s="889"/>
      <c r="B33" s="889"/>
      <c r="C33" s="889"/>
      <c r="D33" s="889"/>
      <c r="E33" s="889"/>
      <c r="F33" s="889"/>
      <c r="G33" s="889"/>
      <c r="H33" s="889"/>
      <c r="I33" s="889"/>
      <c r="J33" s="889"/>
      <c r="K33" s="889"/>
      <c r="L33" s="889"/>
      <c r="M33" s="889"/>
      <c r="N33" s="889"/>
    </row>
    <row r="34" spans="1:14" x14ac:dyDescent="0.3">
      <c r="A34" s="889"/>
      <c r="B34" s="889"/>
      <c r="C34" s="889"/>
      <c r="D34" s="889"/>
      <c r="E34" s="889"/>
      <c r="F34" s="889"/>
      <c r="G34" s="889"/>
      <c r="H34" s="889"/>
      <c r="I34" s="889"/>
      <c r="J34" s="889"/>
      <c r="K34" s="889"/>
      <c r="L34" s="889"/>
      <c r="M34" s="889"/>
      <c r="N34" s="889"/>
    </row>
    <row r="35" spans="1:14" x14ac:dyDescent="0.3">
      <c r="A35" s="889"/>
      <c r="B35" s="889"/>
      <c r="C35" s="889"/>
      <c r="D35" s="889"/>
      <c r="E35" s="889"/>
      <c r="F35" s="889"/>
      <c r="G35" s="889"/>
      <c r="H35" s="889"/>
      <c r="I35" s="889"/>
      <c r="J35" s="889"/>
      <c r="K35" s="889"/>
      <c r="L35" s="889"/>
      <c r="M35" s="889"/>
      <c r="N35" s="889"/>
    </row>
    <row r="36" spans="1:14" x14ac:dyDescent="0.3">
      <c r="A36" s="889"/>
      <c r="B36" s="889"/>
      <c r="C36" s="889"/>
      <c r="D36" s="889"/>
      <c r="E36" s="889"/>
      <c r="F36" s="889"/>
      <c r="G36" s="889"/>
      <c r="H36" s="889"/>
      <c r="I36" s="889"/>
      <c r="J36" s="889"/>
      <c r="K36" s="889"/>
      <c r="L36" s="889"/>
      <c r="M36" s="889"/>
      <c r="N36" s="889"/>
    </row>
    <row r="37" spans="1:14" x14ac:dyDescent="0.3">
      <c r="A37" s="889"/>
      <c r="B37" s="889"/>
      <c r="C37" s="889"/>
      <c r="D37" s="889"/>
      <c r="E37" s="889"/>
      <c r="F37" s="889"/>
      <c r="G37" s="889"/>
      <c r="H37" s="889"/>
      <c r="I37" s="889"/>
      <c r="J37" s="889"/>
      <c r="K37" s="889"/>
      <c r="L37" s="889"/>
      <c r="M37" s="889"/>
      <c r="N37" s="889"/>
    </row>
    <row r="38" spans="1:14" x14ac:dyDescent="0.3">
      <c r="A38" s="889"/>
      <c r="B38" s="889"/>
      <c r="C38" s="889"/>
      <c r="D38" s="889"/>
      <c r="E38" s="889"/>
      <c r="F38" s="889"/>
      <c r="G38" s="889"/>
      <c r="H38" s="889"/>
      <c r="I38" s="889"/>
      <c r="J38" s="889"/>
      <c r="K38" s="889"/>
      <c r="L38" s="889"/>
      <c r="M38" s="889"/>
      <c r="N38" s="889"/>
    </row>
    <row r="39" spans="1:14" x14ac:dyDescent="0.3">
      <c r="A39" s="889"/>
      <c r="B39" s="889"/>
      <c r="C39" s="889"/>
      <c r="D39" s="889"/>
      <c r="E39" s="889"/>
      <c r="F39" s="889"/>
      <c r="G39" s="889"/>
      <c r="H39" s="889"/>
      <c r="I39" s="889"/>
      <c r="J39" s="889"/>
      <c r="K39" s="889"/>
      <c r="L39" s="889"/>
      <c r="M39" s="889"/>
      <c r="N39" s="889"/>
    </row>
    <row r="40" spans="1:14" x14ac:dyDescent="0.3">
      <c r="A40" s="889"/>
      <c r="B40" s="889"/>
      <c r="C40" s="889"/>
      <c r="D40" s="889"/>
      <c r="E40" s="889"/>
      <c r="F40" s="889"/>
      <c r="G40" s="889"/>
      <c r="H40" s="889"/>
      <c r="I40" s="889"/>
      <c r="J40" s="889"/>
      <c r="K40" s="889"/>
      <c r="L40" s="889"/>
      <c r="M40" s="889"/>
      <c r="N40" s="889"/>
    </row>
    <row r="41" spans="1:14" x14ac:dyDescent="0.3">
      <c r="A41" s="889"/>
      <c r="B41" s="889"/>
      <c r="C41" s="889"/>
      <c r="D41" s="889"/>
      <c r="E41" s="889"/>
      <c r="F41" s="889"/>
      <c r="G41" s="889"/>
      <c r="H41" s="889"/>
      <c r="I41" s="889"/>
      <c r="J41" s="889"/>
      <c r="K41" s="889"/>
      <c r="L41" s="889"/>
      <c r="M41" s="889"/>
      <c r="N41" s="889"/>
    </row>
    <row r="42" spans="1:14" x14ac:dyDescent="0.3">
      <c r="A42" s="889"/>
      <c r="B42" s="889"/>
      <c r="C42" s="889"/>
      <c r="D42" s="889"/>
      <c r="E42" s="889"/>
      <c r="F42" s="889"/>
      <c r="G42" s="889"/>
      <c r="H42" s="889"/>
      <c r="I42" s="889"/>
      <c r="J42" s="889"/>
      <c r="K42" s="889"/>
      <c r="L42" s="889"/>
      <c r="M42" s="889"/>
      <c r="N42" s="889"/>
    </row>
    <row r="43" spans="1:14" x14ac:dyDescent="0.3">
      <c r="A43" s="889"/>
      <c r="B43" s="889"/>
      <c r="C43" s="889"/>
      <c r="D43" s="889"/>
      <c r="E43" s="889"/>
      <c r="F43" s="889"/>
      <c r="G43" s="889"/>
      <c r="H43" s="889"/>
      <c r="I43" s="889"/>
      <c r="J43" s="889"/>
      <c r="K43" s="889"/>
      <c r="L43" s="889"/>
      <c r="M43" s="889"/>
      <c r="N43" s="889"/>
    </row>
    <row r="44" spans="1:14" x14ac:dyDescent="0.3">
      <c r="A44" s="889"/>
      <c r="B44" s="889"/>
      <c r="C44" s="889"/>
      <c r="D44" s="889"/>
      <c r="E44" s="889"/>
      <c r="F44" s="889"/>
      <c r="G44" s="889"/>
      <c r="H44" s="889"/>
      <c r="I44" s="889"/>
      <c r="J44" s="889"/>
      <c r="K44" s="889"/>
      <c r="L44" s="889"/>
      <c r="M44" s="889"/>
      <c r="N44" s="889"/>
    </row>
    <row r="45" spans="1:14" x14ac:dyDescent="0.3">
      <c r="A45" s="889"/>
      <c r="B45" s="889"/>
      <c r="C45" s="889"/>
      <c r="D45" s="889"/>
      <c r="E45" s="889"/>
      <c r="F45" s="889"/>
      <c r="G45" s="889"/>
      <c r="H45" s="889"/>
      <c r="I45" s="889"/>
      <c r="J45" s="889"/>
      <c r="K45" s="889"/>
      <c r="L45" s="889"/>
      <c r="M45" s="889"/>
      <c r="N45" s="889"/>
    </row>
    <row r="46" spans="1:14" x14ac:dyDescent="0.3">
      <c r="A46" s="889"/>
      <c r="B46" s="889"/>
      <c r="C46" s="889"/>
      <c r="D46" s="889"/>
      <c r="E46" s="889"/>
      <c r="F46" s="889"/>
      <c r="G46" s="889"/>
      <c r="H46" s="889"/>
      <c r="I46" s="889"/>
      <c r="J46" s="889"/>
      <c r="K46" s="889"/>
      <c r="L46" s="889"/>
      <c r="M46" s="889"/>
      <c r="N46" s="889"/>
    </row>
    <row r="47" spans="1:14" x14ac:dyDescent="0.3">
      <c r="A47" s="889"/>
      <c r="B47" s="889"/>
      <c r="C47" s="889"/>
      <c r="D47" s="889"/>
      <c r="E47" s="889"/>
      <c r="F47" s="889"/>
      <c r="G47" s="889"/>
      <c r="H47" s="889"/>
      <c r="I47" s="889"/>
      <c r="J47" s="889"/>
      <c r="K47" s="889"/>
      <c r="L47" s="889"/>
      <c r="M47" s="889"/>
      <c r="N47" s="889"/>
    </row>
    <row r="48" spans="1:14" x14ac:dyDescent="0.3">
      <c r="A48" s="889"/>
      <c r="B48" s="889"/>
      <c r="C48" s="889"/>
      <c r="D48" s="889"/>
      <c r="E48" s="889"/>
      <c r="F48" s="889"/>
      <c r="G48" s="889"/>
      <c r="H48" s="889"/>
      <c r="I48" s="889"/>
      <c r="J48" s="889"/>
      <c r="K48" s="889"/>
      <c r="L48" s="889"/>
      <c r="M48" s="889"/>
      <c r="N48" s="889"/>
    </row>
    <row r="49" spans="1:14" x14ac:dyDescent="0.3">
      <c r="A49" s="889"/>
      <c r="B49" s="889"/>
      <c r="C49" s="889"/>
      <c r="D49" s="889"/>
      <c r="E49" s="889"/>
      <c r="F49" s="889"/>
      <c r="G49" s="889"/>
      <c r="H49" s="889"/>
      <c r="I49" s="889"/>
      <c r="J49" s="889"/>
      <c r="K49" s="889"/>
      <c r="L49" s="889"/>
      <c r="M49" s="889"/>
      <c r="N49" s="889"/>
    </row>
    <row r="50" spans="1:14" x14ac:dyDescent="0.3">
      <c r="A50" s="889"/>
      <c r="B50" s="889"/>
      <c r="C50" s="889"/>
      <c r="D50" s="889"/>
      <c r="E50" s="889"/>
      <c r="F50" s="889"/>
      <c r="G50" s="889"/>
      <c r="H50" s="889"/>
      <c r="I50" s="889"/>
      <c r="J50" s="889"/>
      <c r="K50" s="889"/>
      <c r="L50" s="889"/>
      <c r="M50" s="889"/>
      <c r="N50" s="889"/>
    </row>
    <row r="51" spans="1:14" x14ac:dyDescent="0.3">
      <c r="A51" s="889"/>
      <c r="B51" s="889"/>
      <c r="C51" s="889"/>
      <c r="D51" s="889"/>
      <c r="E51" s="889"/>
      <c r="F51" s="889"/>
      <c r="G51" s="889"/>
      <c r="H51" s="889"/>
      <c r="I51" s="889"/>
      <c r="J51" s="889"/>
      <c r="K51" s="889"/>
      <c r="L51" s="889"/>
      <c r="M51" s="889"/>
      <c r="N51" s="889"/>
    </row>
    <row r="52" spans="1:14" x14ac:dyDescent="0.3">
      <c r="A52" s="889"/>
      <c r="B52" s="889"/>
      <c r="C52" s="889"/>
      <c r="D52" s="889"/>
      <c r="E52" s="889"/>
      <c r="F52" s="889"/>
      <c r="G52" s="889"/>
      <c r="H52" s="889"/>
      <c r="I52" s="889"/>
      <c r="J52" s="889"/>
      <c r="K52" s="889"/>
      <c r="L52" s="889"/>
      <c r="M52" s="889"/>
      <c r="N52" s="889"/>
    </row>
    <row r="53" spans="1:14" x14ac:dyDescent="0.3">
      <c r="A53" s="889"/>
      <c r="B53" s="889"/>
      <c r="C53" s="889"/>
      <c r="D53" s="889"/>
      <c r="E53" s="889"/>
      <c r="F53" s="889"/>
      <c r="G53" s="889"/>
      <c r="H53" s="889"/>
      <c r="I53" s="889"/>
      <c r="J53" s="889"/>
      <c r="K53" s="889"/>
      <c r="L53" s="889"/>
      <c r="M53" s="889"/>
      <c r="N53" s="889"/>
    </row>
    <row r="54" spans="1:14" x14ac:dyDescent="0.3">
      <c r="A54" s="889"/>
      <c r="B54" s="889"/>
      <c r="C54" s="889"/>
      <c r="D54" s="889"/>
      <c r="E54" s="889"/>
      <c r="F54" s="889"/>
      <c r="G54" s="889"/>
      <c r="H54" s="889"/>
      <c r="I54" s="889"/>
      <c r="J54" s="889"/>
      <c r="K54" s="889"/>
      <c r="L54" s="889"/>
      <c r="M54" s="889"/>
      <c r="N54" s="889"/>
    </row>
    <row r="55" spans="1:14" x14ac:dyDescent="0.3">
      <c r="A55" s="889"/>
      <c r="B55" s="889"/>
      <c r="C55" s="889"/>
      <c r="D55" s="889"/>
      <c r="E55" s="889"/>
      <c r="F55" s="889"/>
      <c r="G55" s="889"/>
      <c r="H55" s="889"/>
      <c r="I55" s="889"/>
      <c r="J55" s="889"/>
      <c r="K55" s="889"/>
      <c r="L55" s="889"/>
      <c r="M55" s="889"/>
      <c r="N55" s="889"/>
    </row>
    <row r="56" spans="1:14" x14ac:dyDescent="0.3">
      <c r="A56" s="889"/>
      <c r="B56" s="889"/>
      <c r="C56" s="889"/>
      <c r="D56" s="889"/>
      <c r="E56" s="889"/>
      <c r="F56" s="889"/>
      <c r="G56" s="889"/>
      <c r="H56" s="889"/>
      <c r="I56" s="889"/>
      <c r="J56" s="889"/>
      <c r="K56" s="889"/>
      <c r="L56" s="889"/>
      <c r="M56" s="889"/>
      <c r="N56" s="889"/>
    </row>
    <row r="57" spans="1:14" x14ac:dyDescent="0.3">
      <c r="A57" s="889"/>
      <c r="B57" s="889"/>
      <c r="C57" s="889"/>
      <c r="D57" s="889"/>
      <c r="E57" s="889"/>
      <c r="F57" s="889"/>
      <c r="G57" s="889"/>
      <c r="H57" s="889"/>
      <c r="I57" s="889"/>
      <c r="J57" s="889"/>
      <c r="K57" s="889"/>
      <c r="L57" s="889"/>
      <c r="M57" s="889"/>
      <c r="N57" s="889"/>
    </row>
    <row r="58" spans="1:14" x14ac:dyDescent="0.3">
      <c r="A58" s="889"/>
      <c r="B58" s="889"/>
      <c r="C58" s="889"/>
      <c r="D58" s="889"/>
      <c r="E58" s="889"/>
      <c r="F58" s="889"/>
      <c r="G58" s="889"/>
      <c r="H58" s="889"/>
      <c r="I58" s="889"/>
      <c r="J58" s="889"/>
      <c r="K58" s="889"/>
      <c r="L58" s="889"/>
      <c r="M58" s="889"/>
      <c r="N58" s="889"/>
    </row>
    <row r="59" spans="1:14" x14ac:dyDescent="0.3">
      <c r="A59" s="889"/>
      <c r="B59" s="889"/>
      <c r="C59" s="889"/>
      <c r="D59" s="889"/>
      <c r="E59" s="889"/>
      <c r="F59" s="889"/>
      <c r="G59" s="889"/>
      <c r="H59" s="889"/>
      <c r="I59" s="889"/>
      <c r="J59" s="889"/>
      <c r="K59" s="889"/>
      <c r="L59" s="889"/>
      <c r="M59" s="889"/>
      <c r="N59" s="889"/>
    </row>
    <row r="60" spans="1:14" x14ac:dyDescent="0.3">
      <c r="A60" s="889"/>
      <c r="B60" s="889"/>
      <c r="C60" s="889"/>
      <c r="D60" s="889"/>
      <c r="E60" s="889"/>
      <c r="F60" s="889"/>
      <c r="G60" s="889"/>
      <c r="H60" s="889"/>
      <c r="I60" s="889"/>
      <c r="J60" s="889"/>
      <c r="K60" s="889"/>
      <c r="L60" s="889"/>
      <c r="M60" s="889"/>
      <c r="N60" s="889"/>
    </row>
    <row r="61" spans="1:14" x14ac:dyDescent="0.3">
      <c r="A61" s="889"/>
      <c r="B61" s="889"/>
      <c r="C61" s="889"/>
      <c r="D61" s="889"/>
      <c r="E61" s="889"/>
      <c r="F61" s="889"/>
      <c r="G61" s="889"/>
      <c r="H61" s="889"/>
      <c r="I61" s="889"/>
      <c r="J61" s="889"/>
      <c r="K61" s="889"/>
      <c r="L61" s="889"/>
      <c r="M61" s="889"/>
      <c r="N61" s="889"/>
    </row>
    <row r="62" spans="1:14" x14ac:dyDescent="0.3">
      <c r="A62" s="889"/>
      <c r="B62" s="889"/>
      <c r="C62" s="889"/>
      <c r="D62" s="889"/>
      <c r="E62" s="889"/>
      <c r="F62" s="889"/>
      <c r="G62" s="889"/>
      <c r="H62" s="889"/>
      <c r="I62" s="889"/>
      <c r="J62" s="889"/>
      <c r="K62" s="889"/>
      <c r="L62" s="889"/>
      <c r="M62" s="889"/>
      <c r="N62" s="889"/>
    </row>
    <row r="63" spans="1:14" x14ac:dyDescent="0.3">
      <c r="A63" s="889"/>
      <c r="B63" s="889"/>
      <c r="C63" s="889"/>
      <c r="D63" s="889"/>
      <c r="E63" s="889"/>
      <c r="F63" s="889"/>
      <c r="G63" s="889"/>
      <c r="H63" s="889"/>
      <c r="I63" s="889"/>
      <c r="J63" s="889"/>
      <c r="K63" s="889"/>
      <c r="L63" s="889"/>
      <c r="M63" s="889"/>
      <c r="N63" s="889"/>
    </row>
    <row r="64" spans="1:14" x14ac:dyDescent="0.3">
      <c r="A64" s="889"/>
      <c r="B64" s="889"/>
      <c r="C64" s="889"/>
      <c r="D64" s="889"/>
      <c r="E64" s="889"/>
      <c r="F64" s="889"/>
      <c r="G64" s="889"/>
      <c r="H64" s="889"/>
      <c r="I64" s="889"/>
      <c r="J64" s="889"/>
      <c r="K64" s="889"/>
      <c r="L64" s="889"/>
      <c r="M64" s="889"/>
      <c r="N64" s="889"/>
    </row>
    <row r="65" spans="1:14" x14ac:dyDescent="0.3">
      <c r="A65" s="889"/>
      <c r="B65" s="889"/>
      <c r="C65" s="889"/>
      <c r="D65" s="889"/>
      <c r="E65" s="889"/>
      <c r="F65" s="889"/>
      <c r="G65" s="889"/>
      <c r="H65" s="889"/>
      <c r="I65" s="889"/>
      <c r="J65" s="889"/>
      <c r="K65" s="889"/>
      <c r="L65" s="889"/>
      <c r="M65" s="889"/>
      <c r="N65" s="889"/>
    </row>
    <row r="66" spans="1:14" x14ac:dyDescent="0.3">
      <c r="A66" s="889"/>
      <c r="B66" s="889"/>
      <c r="C66" s="889"/>
      <c r="D66" s="889"/>
      <c r="E66" s="889"/>
      <c r="F66" s="889"/>
      <c r="G66" s="889"/>
      <c r="H66" s="889"/>
      <c r="I66" s="889"/>
      <c r="J66" s="889"/>
      <c r="K66" s="889"/>
      <c r="L66" s="889"/>
      <c r="M66" s="889"/>
      <c r="N66" s="889"/>
    </row>
    <row r="67" spans="1:14" x14ac:dyDescent="0.3">
      <c r="A67" s="889"/>
      <c r="B67" s="889"/>
      <c r="C67" s="889"/>
      <c r="D67" s="889"/>
      <c r="E67" s="889"/>
      <c r="F67" s="889"/>
      <c r="G67" s="889"/>
      <c r="H67" s="889"/>
      <c r="I67" s="889"/>
      <c r="J67" s="889"/>
      <c r="K67" s="889"/>
      <c r="L67" s="889"/>
      <c r="M67" s="889"/>
      <c r="N67" s="889"/>
    </row>
    <row r="68" spans="1:14" x14ac:dyDescent="0.3">
      <c r="A68" s="889"/>
      <c r="B68" s="889"/>
      <c r="C68" s="889"/>
      <c r="D68" s="889"/>
      <c r="E68" s="889"/>
      <c r="F68" s="889"/>
      <c r="G68" s="889"/>
      <c r="H68" s="889"/>
      <c r="I68" s="889"/>
      <c r="J68" s="889"/>
      <c r="K68" s="889"/>
      <c r="L68" s="889"/>
      <c r="M68" s="889"/>
      <c r="N68" s="889"/>
    </row>
    <row r="69" spans="1:14" x14ac:dyDescent="0.3">
      <c r="A69" s="889"/>
      <c r="B69" s="889"/>
      <c r="C69" s="889"/>
      <c r="D69" s="889"/>
      <c r="E69" s="889"/>
      <c r="F69" s="889"/>
      <c r="G69" s="889"/>
      <c r="H69" s="889"/>
      <c r="I69" s="889"/>
      <c r="J69" s="889"/>
      <c r="K69" s="889"/>
      <c r="L69" s="889"/>
      <c r="M69" s="889"/>
      <c r="N69" s="889"/>
    </row>
    <row r="70" spans="1:14" x14ac:dyDescent="0.3">
      <c r="A70" s="889"/>
      <c r="B70" s="889"/>
      <c r="C70" s="889"/>
      <c r="D70" s="889"/>
      <c r="E70" s="889"/>
      <c r="F70" s="889"/>
      <c r="G70" s="889"/>
      <c r="H70" s="889"/>
      <c r="I70" s="889"/>
      <c r="J70" s="889"/>
      <c r="K70" s="889"/>
      <c r="L70" s="889"/>
      <c r="M70" s="889"/>
      <c r="N70" s="889"/>
    </row>
    <row r="71" spans="1:14" x14ac:dyDescent="0.3">
      <c r="A71" s="889"/>
      <c r="B71" s="889"/>
      <c r="C71" s="889"/>
      <c r="D71" s="889"/>
      <c r="E71" s="889"/>
      <c r="F71" s="889"/>
      <c r="G71" s="889"/>
      <c r="H71" s="889"/>
      <c r="I71" s="889"/>
      <c r="J71" s="889"/>
      <c r="K71" s="889"/>
      <c r="L71" s="889"/>
      <c r="M71" s="889"/>
      <c r="N71" s="889"/>
    </row>
    <row r="72" spans="1:14" x14ac:dyDescent="0.3">
      <c r="A72" s="889"/>
      <c r="B72" s="889"/>
      <c r="C72" s="889"/>
      <c r="D72" s="889"/>
      <c r="E72" s="889"/>
      <c r="F72" s="889"/>
      <c r="G72" s="889"/>
      <c r="H72" s="889"/>
      <c r="I72" s="889"/>
      <c r="J72" s="889"/>
      <c r="K72" s="889"/>
      <c r="L72" s="889"/>
      <c r="M72" s="889"/>
      <c r="N72" s="889"/>
    </row>
    <row r="73" spans="1:14" x14ac:dyDescent="0.3">
      <c r="A73" s="889"/>
      <c r="B73" s="889"/>
      <c r="C73" s="889"/>
      <c r="D73" s="889"/>
      <c r="E73" s="889"/>
      <c r="F73" s="889"/>
      <c r="G73" s="889"/>
      <c r="H73" s="889"/>
      <c r="I73" s="889"/>
      <c r="J73" s="889"/>
      <c r="K73" s="889"/>
      <c r="L73" s="889"/>
      <c r="M73" s="889"/>
      <c r="N73" s="889"/>
    </row>
    <row r="74" spans="1:14" x14ac:dyDescent="0.3">
      <c r="A74" s="889"/>
      <c r="B74" s="889"/>
      <c r="C74" s="889"/>
      <c r="D74" s="889"/>
      <c r="E74" s="889"/>
      <c r="F74" s="889"/>
      <c r="G74" s="889"/>
      <c r="H74" s="889"/>
      <c r="I74" s="889"/>
      <c r="J74" s="889"/>
      <c r="K74" s="889"/>
      <c r="L74" s="889"/>
      <c r="M74" s="889"/>
      <c r="N74" s="889"/>
    </row>
    <row r="75" spans="1:14" x14ac:dyDescent="0.3">
      <c r="A75" s="889"/>
      <c r="B75" s="889"/>
      <c r="C75" s="889"/>
      <c r="D75" s="889"/>
      <c r="E75" s="889"/>
      <c r="F75" s="889"/>
      <c r="G75" s="889"/>
      <c r="H75" s="889"/>
      <c r="I75" s="889"/>
      <c r="J75" s="889"/>
      <c r="K75" s="889"/>
      <c r="L75" s="889"/>
      <c r="M75" s="889"/>
      <c r="N75" s="889"/>
    </row>
    <row r="76" spans="1:14" x14ac:dyDescent="0.3">
      <c r="A76" s="889"/>
      <c r="B76" s="889"/>
      <c r="C76" s="889"/>
      <c r="D76" s="889"/>
      <c r="E76" s="889"/>
      <c r="F76" s="889"/>
      <c r="G76" s="889"/>
      <c r="H76" s="889"/>
      <c r="I76" s="889"/>
      <c r="J76" s="889"/>
      <c r="K76" s="889"/>
      <c r="L76" s="889"/>
      <c r="M76" s="889"/>
      <c r="N76" s="889"/>
    </row>
    <row r="77" spans="1:14" x14ac:dyDescent="0.3">
      <c r="A77" s="889"/>
      <c r="B77" s="889"/>
      <c r="C77" s="889"/>
      <c r="D77" s="889"/>
      <c r="E77" s="889"/>
      <c r="F77" s="889"/>
      <c r="G77" s="889"/>
      <c r="H77" s="889"/>
      <c r="I77" s="889"/>
      <c r="J77" s="889"/>
      <c r="K77" s="889"/>
      <c r="L77" s="889"/>
      <c r="M77" s="889"/>
      <c r="N77" s="889"/>
    </row>
    <row r="78" spans="1:14" x14ac:dyDescent="0.3">
      <c r="A78" s="889"/>
      <c r="B78" s="889"/>
      <c r="C78" s="889"/>
      <c r="D78" s="889"/>
      <c r="E78" s="889"/>
      <c r="F78" s="889"/>
      <c r="G78" s="889"/>
      <c r="H78" s="889"/>
      <c r="I78" s="889"/>
      <c r="J78" s="889"/>
      <c r="K78" s="889"/>
      <c r="L78" s="889"/>
      <c r="M78" s="889"/>
      <c r="N78" s="889"/>
    </row>
    <row r="79" spans="1:14" x14ac:dyDescent="0.3">
      <c r="A79" s="889"/>
      <c r="B79" s="889"/>
      <c r="C79" s="889"/>
      <c r="D79" s="889"/>
      <c r="E79" s="889"/>
      <c r="F79" s="889"/>
      <c r="G79" s="889"/>
      <c r="H79" s="889"/>
      <c r="I79" s="889"/>
      <c r="J79" s="889"/>
      <c r="K79" s="889"/>
      <c r="L79" s="889"/>
      <c r="M79" s="889"/>
      <c r="N79" s="889"/>
    </row>
    <row r="80" spans="1:14" x14ac:dyDescent="0.3">
      <c r="A80" s="889"/>
      <c r="B80" s="889"/>
      <c r="C80" s="889"/>
      <c r="D80" s="889"/>
      <c r="E80" s="889"/>
      <c r="F80" s="889"/>
      <c r="G80" s="889"/>
      <c r="H80" s="889"/>
      <c r="I80" s="889"/>
      <c r="J80" s="889"/>
      <c r="K80" s="889"/>
      <c r="L80" s="889"/>
      <c r="M80" s="889"/>
      <c r="N80" s="889"/>
    </row>
    <row r="81" spans="1:14" x14ac:dyDescent="0.3">
      <c r="A81" s="889"/>
      <c r="B81" s="889"/>
      <c r="C81" s="889"/>
      <c r="D81" s="889"/>
      <c r="E81" s="889"/>
      <c r="F81" s="889"/>
      <c r="G81" s="889"/>
      <c r="H81" s="889"/>
      <c r="I81" s="889"/>
      <c r="J81" s="889"/>
      <c r="K81" s="889"/>
      <c r="L81" s="889"/>
      <c r="M81" s="889"/>
      <c r="N81" s="889"/>
    </row>
    <row r="82" spans="1:14" x14ac:dyDescent="0.3">
      <c r="A82" s="889"/>
      <c r="B82" s="889"/>
      <c r="C82" s="889"/>
      <c r="D82" s="889"/>
      <c r="E82" s="889"/>
      <c r="F82" s="889"/>
      <c r="G82" s="889"/>
      <c r="H82" s="889"/>
      <c r="I82" s="889"/>
      <c r="J82" s="889"/>
      <c r="K82" s="889"/>
      <c r="L82" s="889"/>
      <c r="M82" s="889"/>
      <c r="N82" s="889"/>
    </row>
    <row r="83" spans="1:14" x14ac:dyDescent="0.3">
      <c r="A83" s="889"/>
      <c r="B83" s="889"/>
      <c r="C83" s="889"/>
      <c r="D83" s="889"/>
      <c r="E83" s="889"/>
      <c r="F83" s="889"/>
      <c r="G83" s="889"/>
      <c r="H83" s="889"/>
      <c r="I83" s="889"/>
      <c r="J83" s="889"/>
      <c r="K83" s="889"/>
      <c r="L83" s="889"/>
      <c r="M83" s="889"/>
      <c r="N83" s="889"/>
    </row>
    <row r="84" spans="1:14" x14ac:dyDescent="0.3">
      <c r="A84" s="889"/>
      <c r="B84" s="889"/>
      <c r="C84" s="889"/>
      <c r="D84" s="889"/>
      <c r="E84" s="889"/>
      <c r="F84" s="889"/>
      <c r="G84" s="889"/>
      <c r="H84" s="889"/>
      <c r="I84" s="889"/>
      <c r="J84" s="889"/>
      <c r="K84" s="889"/>
      <c r="L84" s="889"/>
      <c r="M84" s="889"/>
      <c r="N84" s="889"/>
    </row>
    <row r="85" spans="1:14" x14ac:dyDescent="0.3">
      <c r="A85" s="889"/>
      <c r="B85" s="889"/>
      <c r="C85" s="889"/>
      <c r="D85" s="889"/>
      <c r="E85" s="889"/>
      <c r="F85" s="889"/>
      <c r="G85" s="889"/>
      <c r="H85" s="889"/>
      <c r="I85" s="889"/>
      <c r="J85" s="889"/>
      <c r="K85" s="889"/>
      <c r="L85" s="889"/>
      <c r="M85" s="889"/>
      <c r="N85" s="889"/>
    </row>
    <row r="86" spans="1:14" x14ac:dyDescent="0.3">
      <c r="A86" s="889"/>
      <c r="B86" s="889"/>
      <c r="C86" s="889"/>
      <c r="D86" s="889"/>
      <c r="E86" s="889"/>
      <c r="F86" s="889"/>
      <c r="G86" s="889"/>
      <c r="H86" s="889"/>
      <c r="I86" s="889"/>
      <c r="J86" s="889"/>
      <c r="K86" s="889"/>
      <c r="L86" s="889"/>
      <c r="M86" s="889"/>
      <c r="N86" s="889"/>
    </row>
    <row r="87" spans="1:14" x14ac:dyDescent="0.3">
      <c r="A87" s="889"/>
      <c r="B87" s="889"/>
      <c r="C87" s="889"/>
      <c r="D87" s="889"/>
      <c r="E87" s="889"/>
      <c r="F87" s="889"/>
      <c r="G87" s="889"/>
      <c r="H87" s="889"/>
      <c r="I87" s="889"/>
      <c r="J87" s="889"/>
      <c r="K87" s="889"/>
      <c r="L87" s="889"/>
      <c r="M87" s="889"/>
      <c r="N87" s="889"/>
    </row>
    <row r="88" spans="1:14" x14ac:dyDescent="0.3">
      <c r="A88" s="889"/>
      <c r="B88" s="889"/>
      <c r="C88" s="889"/>
      <c r="D88" s="889"/>
      <c r="E88" s="889"/>
      <c r="F88" s="889"/>
      <c r="G88" s="889"/>
      <c r="H88" s="889"/>
      <c r="I88" s="889"/>
      <c r="J88" s="889"/>
      <c r="K88" s="889"/>
      <c r="L88" s="889"/>
      <c r="M88" s="889"/>
      <c r="N88" s="889"/>
    </row>
    <row r="89" spans="1:14" x14ac:dyDescent="0.3">
      <c r="A89" s="889"/>
      <c r="B89" s="889"/>
      <c r="C89" s="889"/>
      <c r="D89" s="889"/>
      <c r="E89" s="889"/>
      <c r="F89" s="889"/>
      <c r="G89" s="889"/>
      <c r="H89" s="889"/>
      <c r="I89" s="889"/>
      <c r="J89" s="889"/>
      <c r="K89" s="889"/>
      <c r="L89" s="889"/>
      <c r="M89" s="889"/>
      <c r="N89" s="889"/>
    </row>
    <row r="90" spans="1:14" x14ac:dyDescent="0.3">
      <c r="A90" s="889"/>
      <c r="B90" s="889"/>
      <c r="C90" s="889"/>
      <c r="D90" s="889"/>
      <c r="E90" s="889"/>
      <c r="F90" s="889"/>
      <c r="G90" s="889"/>
      <c r="H90" s="889"/>
      <c r="I90" s="889"/>
      <c r="J90" s="889"/>
      <c r="K90" s="889"/>
      <c r="L90" s="889"/>
      <c r="M90" s="889"/>
      <c r="N90" s="889"/>
    </row>
    <row r="91" spans="1:14" x14ac:dyDescent="0.3">
      <c r="A91" s="889"/>
      <c r="B91" s="889"/>
      <c r="C91" s="889"/>
      <c r="D91" s="889"/>
      <c r="E91" s="889"/>
      <c r="F91" s="889"/>
      <c r="G91" s="889"/>
      <c r="H91" s="889"/>
      <c r="I91" s="889"/>
      <c r="J91" s="889"/>
      <c r="K91" s="889"/>
      <c r="L91" s="889"/>
      <c r="M91" s="889"/>
      <c r="N91" s="889"/>
    </row>
    <row r="92" spans="1:14" x14ac:dyDescent="0.3">
      <c r="A92" s="889"/>
      <c r="B92" s="889"/>
      <c r="C92" s="889"/>
      <c r="D92" s="889"/>
      <c r="E92" s="889"/>
      <c r="F92" s="889"/>
      <c r="G92" s="889"/>
      <c r="H92" s="889"/>
      <c r="I92" s="889"/>
      <c r="J92" s="889"/>
      <c r="K92" s="889"/>
      <c r="L92" s="889"/>
      <c r="M92" s="889"/>
      <c r="N92" s="889"/>
    </row>
    <row r="93" spans="1:14" x14ac:dyDescent="0.3">
      <c r="A93" s="889"/>
      <c r="B93" s="889"/>
      <c r="C93" s="889"/>
      <c r="D93" s="889"/>
      <c r="E93" s="889"/>
      <c r="F93" s="889"/>
      <c r="G93" s="889"/>
      <c r="H93" s="889"/>
      <c r="I93" s="889"/>
      <c r="J93" s="889"/>
      <c r="K93" s="889"/>
      <c r="L93" s="889"/>
      <c r="M93" s="889"/>
      <c r="N93" s="889"/>
    </row>
    <row r="94" spans="1:14" x14ac:dyDescent="0.3">
      <c r="A94" s="889"/>
      <c r="B94" s="889"/>
      <c r="C94" s="889"/>
      <c r="D94" s="889"/>
      <c r="E94" s="889"/>
      <c r="F94" s="889"/>
      <c r="G94" s="889"/>
      <c r="H94" s="889"/>
      <c r="I94" s="889"/>
      <c r="J94" s="889"/>
      <c r="K94" s="889"/>
      <c r="L94" s="889"/>
      <c r="M94" s="889"/>
      <c r="N94" s="889"/>
    </row>
    <row r="95" spans="1:14" x14ac:dyDescent="0.3">
      <c r="A95" s="889"/>
      <c r="B95" s="889"/>
      <c r="C95" s="889"/>
      <c r="D95" s="889"/>
      <c r="E95" s="889"/>
      <c r="F95" s="889"/>
      <c r="G95" s="889"/>
      <c r="H95" s="889"/>
      <c r="I95" s="889"/>
      <c r="J95" s="889"/>
      <c r="K95" s="889"/>
      <c r="L95" s="889"/>
      <c r="M95" s="889"/>
      <c r="N95" s="889"/>
    </row>
    <row r="96" spans="1:14" x14ac:dyDescent="0.3">
      <c r="A96" s="889"/>
      <c r="B96" s="889"/>
      <c r="C96" s="889"/>
      <c r="D96" s="889"/>
      <c r="E96" s="889"/>
      <c r="F96" s="889"/>
      <c r="G96" s="889"/>
      <c r="H96" s="889"/>
      <c r="I96" s="889"/>
      <c r="J96" s="889"/>
      <c r="K96" s="889"/>
      <c r="L96" s="889"/>
      <c r="M96" s="889"/>
      <c r="N96" s="889"/>
    </row>
    <row r="97" spans="1:14" x14ac:dyDescent="0.3">
      <c r="A97" s="889"/>
      <c r="B97" s="889"/>
      <c r="C97" s="889"/>
      <c r="D97" s="889"/>
      <c r="E97" s="889"/>
      <c r="F97" s="889"/>
      <c r="G97" s="889"/>
      <c r="H97" s="889"/>
      <c r="I97" s="889"/>
      <c r="J97" s="889"/>
      <c r="K97" s="889"/>
      <c r="L97" s="889"/>
      <c r="M97" s="889"/>
      <c r="N97" s="889"/>
    </row>
    <row r="98" spans="1:14" x14ac:dyDescent="0.3">
      <c r="A98" s="889"/>
      <c r="B98" s="889"/>
      <c r="C98" s="889"/>
      <c r="D98" s="889"/>
      <c r="E98" s="889"/>
      <c r="F98" s="889"/>
      <c r="G98" s="889"/>
      <c r="H98" s="889"/>
      <c r="I98" s="889"/>
      <c r="J98" s="889"/>
      <c r="K98" s="889"/>
      <c r="L98" s="889"/>
      <c r="M98" s="889"/>
      <c r="N98" s="889"/>
    </row>
    <row r="99" spans="1:14" x14ac:dyDescent="0.3">
      <c r="A99" s="889"/>
      <c r="B99" s="889"/>
      <c r="C99" s="889"/>
      <c r="D99" s="889"/>
      <c r="E99" s="889"/>
      <c r="F99" s="889"/>
      <c r="G99" s="889"/>
      <c r="H99" s="889"/>
      <c r="I99" s="889"/>
      <c r="J99" s="889"/>
      <c r="K99" s="889"/>
      <c r="L99" s="889"/>
      <c r="M99" s="889"/>
      <c r="N99" s="889"/>
    </row>
    <row r="100" spans="1:14" x14ac:dyDescent="0.3">
      <c r="A100" s="889"/>
      <c r="B100" s="889"/>
      <c r="C100" s="889"/>
      <c r="D100" s="889"/>
      <c r="E100" s="889"/>
      <c r="F100" s="889"/>
      <c r="G100" s="889"/>
      <c r="H100" s="889"/>
      <c r="I100" s="889"/>
      <c r="J100" s="889"/>
      <c r="K100" s="889"/>
      <c r="L100" s="889"/>
      <c r="M100" s="889"/>
      <c r="N100" s="889"/>
    </row>
    <row r="101" spans="1:14" x14ac:dyDescent="0.3">
      <c r="A101" s="889"/>
      <c r="B101" s="889"/>
      <c r="C101" s="889"/>
      <c r="D101" s="889"/>
      <c r="E101" s="889"/>
      <c r="F101" s="889"/>
      <c r="G101" s="889"/>
      <c r="H101" s="889"/>
      <c r="I101" s="889"/>
      <c r="J101" s="889"/>
      <c r="K101" s="889"/>
      <c r="L101" s="889"/>
      <c r="M101" s="889"/>
      <c r="N101" s="889"/>
    </row>
    <row r="102" spans="1:14" x14ac:dyDescent="0.3">
      <c r="A102" s="889"/>
      <c r="B102" s="889"/>
      <c r="C102" s="889"/>
      <c r="D102" s="889"/>
      <c r="E102" s="889"/>
      <c r="F102" s="889"/>
      <c r="G102" s="889"/>
      <c r="H102" s="889"/>
      <c r="I102" s="889"/>
      <c r="J102" s="889"/>
      <c r="K102" s="889"/>
      <c r="L102" s="889"/>
      <c r="M102" s="889"/>
      <c r="N102" s="889"/>
    </row>
    <row r="103" spans="1:14" x14ac:dyDescent="0.3">
      <c r="A103" s="889"/>
      <c r="B103" s="889"/>
      <c r="C103" s="889"/>
      <c r="D103" s="889"/>
      <c r="E103" s="889"/>
      <c r="F103" s="889"/>
      <c r="G103" s="889"/>
      <c r="H103" s="889"/>
      <c r="I103" s="889"/>
      <c r="J103" s="889"/>
      <c r="K103" s="889"/>
      <c r="L103" s="889"/>
      <c r="M103" s="889"/>
      <c r="N103" s="889"/>
    </row>
    <row r="104" spans="1:14" x14ac:dyDescent="0.3">
      <c r="A104" s="889"/>
      <c r="B104" s="889"/>
      <c r="C104" s="889"/>
      <c r="D104" s="889"/>
      <c r="E104" s="889"/>
      <c r="F104" s="889"/>
      <c r="G104" s="889"/>
      <c r="H104" s="889"/>
      <c r="I104" s="889"/>
      <c r="J104" s="889"/>
      <c r="K104" s="889"/>
      <c r="L104" s="889"/>
      <c r="M104" s="889"/>
      <c r="N104" s="889"/>
    </row>
    <row r="105" spans="1:14" x14ac:dyDescent="0.3">
      <c r="A105" s="889"/>
      <c r="B105" s="889"/>
      <c r="C105" s="889"/>
      <c r="D105" s="889"/>
      <c r="E105" s="889"/>
      <c r="F105" s="889"/>
      <c r="G105" s="889"/>
      <c r="H105" s="889"/>
      <c r="I105" s="889"/>
      <c r="J105" s="889"/>
      <c r="K105" s="889"/>
      <c r="L105" s="889"/>
      <c r="M105" s="889"/>
      <c r="N105" s="889"/>
    </row>
    <row r="106" spans="1:14" x14ac:dyDescent="0.3">
      <c r="A106" s="889"/>
      <c r="B106" s="889"/>
      <c r="C106" s="889"/>
      <c r="D106" s="889"/>
      <c r="E106" s="889"/>
      <c r="F106" s="889"/>
      <c r="G106" s="889"/>
      <c r="H106" s="889"/>
      <c r="I106" s="889"/>
      <c r="J106" s="889"/>
      <c r="K106" s="889"/>
      <c r="L106" s="889"/>
      <c r="M106" s="889"/>
      <c r="N106" s="889"/>
    </row>
    <row r="107" spans="1:14" x14ac:dyDescent="0.3">
      <c r="A107" s="889"/>
      <c r="B107" s="889"/>
      <c r="C107" s="889"/>
      <c r="D107" s="889"/>
      <c r="E107" s="889"/>
      <c r="F107" s="889"/>
      <c r="G107" s="889"/>
      <c r="H107" s="889"/>
      <c r="I107" s="889"/>
      <c r="J107" s="889"/>
      <c r="K107" s="889"/>
      <c r="L107" s="889"/>
      <c r="M107" s="889"/>
      <c r="N107" s="889"/>
    </row>
    <row r="108" spans="1:14" x14ac:dyDescent="0.3">
      <c r="A108" s="889"/>
      <c r="B108" s="889"/>
      <c r="C108" s="889"/>
      <c r="D108" s="889"/>
      <c r="E108" s="889"/>
      <c r="F108" s="889"/>
      <c r="G108" s="889"/>
      <c r="H108" s="889"/>
      <c r="I108" s="889"/>
      <c r="J108" s="889"/>
      <c r="K108" s="889"/>
      <c r="L108" s="889"/>
      <c r="M108" s="889"/>
      <c r="N108" s="889"/>
    </row>
    <row r="109" spans="1:14" x14ac:dyDescent="0.3">
      <c r="A109" s="889"/>
      <c r="B109" s="889"/>
      <c r="C109" s="889"/>
      <c r="D109" s="889"/>
      <c r="E109" s="889"/>
      <c r="F109" s="889"/>
      <c r="G109" s="889"/>
      <c r="H109" s="889"/>
      <c r="I109" s="889"/>
      <c r="J109" s="889"/>
      <c r="K109" s="889"/>
      <c r="L109" s="889"/>
      <c r="M109" s="889"/>
      <c r="N109" s="889"/>
    </row>
    <row r="110" spans="1:14" x14ac:dyDescent="0.3">
      <c r="A110" s="889"/>
      <c r="B110" s="889"/>
      <c r="C110" s="889"/>
      <c r="D110" s="889"/>
      <c r="E110" s="889"/>
      <c r="F110" s="889"/>
      <c r="G110" s="889"/>
      <c r="H110" s="889"/>
      <c r="I110" s="889"/>
      <c r="J110" s="889"/>
      <c r="K110" s="889"/>
      <c r="L110" s="889"/>
      <c r="M110" s="889"/>
      <c r="N110" s="889"/>
    </row>
    <row r="111" spans="1:14" x14ac:dyDescent="0.3">
      <c r="A111" s="889"/>
      <c r="B111" s="889"/>
      <c r="C111" s="889"/>
      <c r="D111" s="889"/>
      <c r="E111" s="889"/>
      <c r="F111" s="889"/>
      <c r="G111" s="889"/>
      <c r="H111" s="889"/>
      <c r="I111" s="889"/>
      <c r="J111" s="889"/>
      <c r="K111" s="889"/>
      <c r="L111" s="889"/>
      <c r="M111" s="889"/>
      <c r="N111" s="889"/>
    </row>
    <row r="112" spans="1:14" x14ac:dyDescent="0.3">
      <c r="A112" s="889"/>
      <c r="B112" s="889"/>
      <c r="C112" s="889"/>
      <c r="D112" s="889"/>
      <c r="E112" s="889"/>
      <c r="F112" s="889"/>
      <c r="G112" s="889"/>
      <c r="H112" s="889"/>
      <c r="I112" s="889"/>
      <c r="J112" s="889"/>
      <c r="K112" s="889"/>
      <c r="L112" s="889"/>
      <c r="M112" s="889"/>
      <c r="N112" s="889"/>
    </row>
    <row r="113" spans="1:14" x14ac:dyDescent="0.3">
      <c r="A113" s="889"/>
      <c r="B113" s="889"/>
      <c r="C113" s="889"/>
      <c r="D113" s="889"/>
      <c r="E113" s="889"/>
      <c r="F113" s="889"/>
      <c r="G113" s="889"/>
      <c r="H113" s="889"/>
      <c r="I113" s="889"/>
      <c r="J113" s="889"/>
      <c r="K113" s="889"/>
      <c r="L113" s="889"/>
      <c r="M113" s="889"/>
      <c r="N113" s="889"/>
    </row>
    <row r="114" spans="1:14" x14ac:dyDescent="0.3">
      <c r="A114" s="889"/>
      <c r="B114" s="889"/>
      <c r="C114" s="889"/>
      <c r="D114" s="889"/>
      <c r="E114" s="889"/>
      <c r="F114" s="889"/>
      <c r="G114" s="889"/>
      <c r="H114" s="889"/>
      <c r="I114" s="889"/>
      <c r="J114" s="889"/>
      <c r="K114" s="889"/>
      <c r="L114" s="889"/>
      <c r="M114" s="889"/>
      <c r="N114" s="889"/>
    </row>
    <row r="115" spans="1:14" x14ac:dyDescent="0.3">
      <c r="A115" s="889"/>
      <c r="B115" s="889"/>
      <c r="C115" s="889"/>
      <c r="D115" s="889"/>
      <c r="E115" s="889"/>
      <c r="F115" s="889"/>
      <c r="G115" s="889"/>
      <c r="H115" s="889"/>
      <c r="I115" s="889"/>
      <c r="J115" s="889"/>
      <c r="K115" s="889"/>
      <c r="L115" s="889"/>
      <c r="M115" s="889"/>
      <c r="N115" s="889"/>
    </row>
    <row r="116" spans="1:14" x14ac:dyDescent="0.3">
      <c r="A116" s="889"/>
      <c r="B116" s="889"/>
      <c r="C116" s="889"/>
      <c r="D116" s="889"/>
      <c r="E116" s="889"/>
      <c r="F116" s="889"/>
      <c r="G116" s="889"/>
      <c r="H116" s="889"/>
      <c r="I116" s="889"/>
      <c r="J116" s="889"/>
      <c r="K116" s="889"/>
      <c r="L116" s="889"/>
      <c r="M116" s="889"/>
      <c r="N116" s="889"/>
    </row>
    <row r="117" spans="1:14" x14ac:dyDescent="0.3">
      <c r="A117" s="889"/>
      <c r="B117" s="889"/>
      <c r="C117" s="889"/>
      <c r="D117" s="889"/>
      <c r="E117" s="889"/>
      <c r="F117" s="889"/>
      <c r="G117" s="889"/>
      <c r="H117" s="889"/>
      <c r="I117" s="889"/>
      <c r="J117" s="889"/>
      <c r="K117" s="889"/>
      <c r="L117" s="889"/>
      <c r="M117" s="889"/>
      <c r="N117" s="889"/>
    </row>
    <row r="118" spans="1:14" x14ac:dyDescent="0.3">
      <c r="A118" s="889"/>
      <c r="B118" s="889"/>
      <c r="C118" s="889"/>
      <c r="D118" s="889"/>
      <c r="E118" s="889"/>
      <c r="F118" s="889"/>
      <c r="G118" s="889"/>
      <c r="H118" s="889"/>
      <c r="I118" s="889"/>
      <c r="J118" s="889"/>
      <c r="K118" s="889"/>
      <c r="L118" s="889"/>
      <c r="M118" s="889"/>
      <c r="N118" s="889"/>
    </row>
    <row r="119" spans="1:14" x14ac:dyDescent="0.3">
      <c r="A119" s="889"/>
      <c r="B119" s="889"/>
      <c r="C119" s="889"/>
      <c r="D119" s="889"/>
      <c r="E119" s="889"/>
      <c r="F119" s="889"/>
      <c r="G119" s="889"/>
      <c r="H119" s="889"/>
      <c r="I119" s="889"/>
      <c r="J119" s="889"/>
      <c r="K119" s="889"/>
      <c r="L119" s="889"/>
      <c r="M119" s="889"/>
      <c r="N119" s="889"/>
    </row>
    <row r="120" spans="1:14" x14ac:dyDescent="0.3">
      <c r="A120" s="889"/>
      <c r="B120" s="889"/>
      <c r="C120" s="889"/>
      <c r="D120" s="889"/>
      <c r="E120" s="889"/>
      <c r="F120" s="889"/>
      <c r="G120" s="889"/>
      <c r="H120" s="889"/>
      <c r="I120" s="889"/>
      <c r="J120" s="889"/>
      <c r="K120" s="889"/>
      <c r="L120" s="889"/>
      <c r="M120" s="889"/>
      <c r="N120" s="889"/>
    </row>
    <row r="121" spans="1:14" x14ac:dyDescent="0.3">
      <c r="A121" s="889"/>
      <c r="B121" s="889"/>
      <c r="C121" s="889"/>
      <c r="D121" s="889"/>
      <c r="E121" s="889"/>
      <c r="F121" s="889"/>
      <c r="G121" s="889"/>
      <c r="H121" s="889"/>
      <c r="I121" s="889"/>
      <c r="J121" s="889"/>
      <c r="K121" s="889"/>
      <c r="L121" s="889"/>
      <c r="M121" s="889"/>
      <c r="N121" s="889"/>
    </row>
    <row r="122" spans="1:14" x14ac:dyDescent="0.3">
      <c r="A122" s="889"/>
      <c r="B122" s="889"/>
      <c r="C122" s="889"/>
      <c r="D122" s="889"/>
      <c r="E122" s="889"/>
      <c r="F122" s="889"/>
      <c r="G122" s="889"/>
      <c r="H122" s="889"/>
      <c r="I122" s="889"/>
      <c r="J122" s="889"/>
      <c r="K122" s="889"/>
      <c r="L122" s="889"/>
      <c r="M122" s="889"/>
      <c r="N122" s="889"/>
    </row>
    <row r="123" spans="1:14" x14ac:dyDescent="0.3">
      <c r="A123" s="889"/>
      <c r="B123" s="889"/>
      <c r="C123" s="889"/>
      <c r="D123" s="889"/>
      <c r="E123" s="889"/>
      <c r="F123" s="889"/>
      <c r="G123" s="889"/>
      <c r="H123" s="889"/>
      <c r="I123" s="889"/>
      <c r="J123" s="889"/>
      <c r="K123" s="889"/>
      <c r="L123" s="889"/>
      <c r="M123" s="889"/>
      <c r="N123" s="889"/>
    </row>
    <row r="124" spans="1:14" x14ac:dyDescent="0.3">
      <c r="A124" s="889"/>
      <c r="B124" s="889"/>
      <c r="C124" s="889"/>
      <c r="D124" s="889"/>
      <c r="E124" s="889"/>
      <c r="F124" s="889"/>
      <c r="G124" s="889"/>
      <c r="H124" s="889"/>
      <c r="I124" s="889"/>
      <c r="J124" s="889"/>
      <c r="K124" s="889"/>
      <c r="L124" s="889"/>
      <c r="M124" s="889"/>
      <c r="N124" s="889"/>
    </row>
    <row r="125" spans="1:14" x14ac:dyDescent="0.3">
      <c r="A125" s="889"/>
      <c r="B125" s="889"/>
      <c r="C125" s="889"/>
      <c r="D125" s="889"/>
      <c r="E125" s="889"/>
      <c r="F125" s="889"/>
      <c r="G125" s="889"/>
      <c r="H125" s="889"/>
      <c r="I125" s="889"/>
      <c r="J125" s="889"/>
      <c r="K125" s="889"/>
      <c r="L125" s="889"/>
      <c r="M125" s="889"/>
      <c r="N125" s="889"/>
    </row>
    <row r="126" spans="1:14" x14ac:dyDescent="0.3">
      <c r="A126" s="889"/>
      <c r="B126" s="889"/>
      <c r="C126" s="889"/>
      <c r="D126" s="889"/>
      <c r="E126" s="889"/>
      <c r="F126" s="889"/>
      <c r="G126" s="889"/>
      <c r="H126" s="889"/>
      <c r="I126" s="889"/>
      <c r="J126" s="889"/>
      <c r="K126" s="889"/>
      <c r="L126" s="889"/>
      <c r="M126" s="889"/>
      <c r="N126" s="889"/>
    </row>
    <row r="127" spans="1:14" x14ac:dyDescent="0.3">
      <c r="A127" s="889"/>
      <c r="B127" s="889"/>
      <c r="C127" s="889"/>
      <c r="D127" s="889"/>
      <c r="E127" s="889"/>
      <c r="F127" s="889"/>
      <c r="G127" s="889"/>
      <c r="H127" s="889"/>
      <c r="I127" s="889"/>
      <c r="J127" s="889"/>
      <c r="K127" s="889"/>
      <c r="L127" s="889"/>
      <c r="M127" s="889"/>
      <c r="N127" s="889"/>
    </row>
    <row r="128" spans="1:14" x14ac:dyDescent="0.3">
      <c r="A128" s="889"/>
      <c r="B128" s="889"/>
      <c r="C128" s="889"/>
      <c r="D128" s="889"/>
      <c r="E128" s="889"/>
      <c r="F128" s="889"/>
      <c r="G128" s="889"/>
      <c r="H128" s="889"/>
      <c r="I128" s="889"/>
      <c r="J128" s="889"/>
      <c r="K128" s="889"/>
      <c r="L128" s="889"/>
      <c r="M128" s="889"/>
      <c r="N128" s="889"/>
    </row>
    <row r="129" spans="1:14" x14ac:dyDescent="0.3">
      <c r="A129" s="889"/>
      <c r="B129" s="889"/>
      <c r="C129" s="889"/>
      <c r="D129" s="889"/>
      <c r="E129" s="889"/>
      <c r="F129" s="889"/>
      <c r="G129" s="889"/>
      <c r="H129" s="889"/>
      <c r="I129" s="889"/>
      <c r="J129" s="889"/>
      <c r="K129" s="889"/>
      <c r="L129" s="889"/>
      <c r="M129" s="889"/>
      <c r="N129" s="889"/>
    </row>
    <row r="130" spans="1:14" x14ac:dyDescent="0.3">
      <c r="A130" s="889"/>
      <c r="B130" s="889"/>
      <c r="C130" s="889"/>
      <c r="D130" s="889"/>
      <c r="E130" s="889"/>
      <c r="F130" s="889"/>
      <c r="G130" s="889"/>
      <c r="H130" s="889"/>
      <c r="I130" s="889"/>
      <c r="J130" s="889"/>
      <c r="K130" s="889"/>
      <c r="L130" s="889"/>
      <c r="M130" s="889"/>
      <c r="N130" s="889"/>
    </row>
    <row r="131" spans="1:14" x14ac:dyDescent="0.3">
      <c r="A131" s="889"/>
      <c r="B131" s="889"/>
      <c r="C131" s="889"/>
      <c r="D131" s="889"/>
      <c r="E131" s="889"/>
      <c r="F131" s="889"/>
      <c r="G131" s="889"/>
      <c r="H131" s="889"/>
      <c r="I131" s="889"/>
      <c r="J131" s="889"/>
      <c r="K131" s="889"/>
      <c r="L131" s="889"/>
      <c r="M131" s="889"/>
      <c r="N131" s="889"/>
    </row>
    <row r="132" spans="1:14" x14ac:dyDescent="0.3">
      <c r="A132" s="889"/>
      <c r="B132" s="889"/>
      <c r="C132" s="889"/>
      <c r="D132" s="889"/>
      <c r="E132" s="889"/>
      <c r="F132" s="889"/>
      <c r="G132" s="889"/>
      <c r="H132" s="889"/>
      <c r="I132" s="889"/>
      <c r="J132" s="889"/>
      <c r="K132" s="889"/>
      <c r="L132" s="889"/>
      <c r="M132" s="889"/>
      <c r="N132" s="889"/>
    </row>
    <row r="133" spans="1:14" x14ac:dyDescent="0.3">
      <c r="A133" s="889"/>
      <c r="B133" s="889"/>
      <c r="C133" s="889"/>
      <c r="D133" s="889"/>
      <c r="E133" s="889"/>
      <c r="F133" s="889"/>
      <c r="G133" s="889"/>
      <c r="H133" s="889"/>
      <c r="I133" s="889"/>
      <c r="J133" s="889"/>
      <c r="K133" s="889"/>
      <c r="L133" s="889"/>
      <c r="M133" s="889"/>
      <c r="N133" s="889"/>
    </row>
    <row r="134" spans="1:14" x14ac:dyDescent="0.3">
      <c r="A134" s="889"/>
      <c r="B134" s="889"/>
      <c r="C134" s="889"/>
      <c r="D134" s="889"/>
      <c r="E134" s="889"/>
      <c r="F134" s="889"/>
      <c r="G134" s="889"/>
      <c r="H134" s="889"/>
      <c r="I134" s="889"/>
      <c r="J134" s="889"/>
      <c r="K134" s="889"/>
      <c r="L134" s="889"/>
      <c r="M134" s="889"/>
      <c r="N134" s="889"/>
    </row>
    <row r="135" spans="1:14" x14ac:dyDescent="0.3">
      <c r="A135" s="889"/>
      <c r="B135" s="889"/>
      <c r="C135" s="889"/>
      <c r="D135" s="889"/>
      <c r="E135" s="889"/>
      <c r="F135" s="889"/>
      <c r="G135" s="889"/>
      <c r="H135" s="889"/>
      <c r="I135" s="889"/>
      <c r="J135" s="889"/>
      <c r="K135" s="889"/>
      <c r="L135" s="889"/>
      <c r="M135" s="889"/>
      <c r="N135" s="889"/>
    </row>
    <row r="136" spans="1:14" x14ac:dyDescent="0.3">
      <c r="A136" s="889"/>
      <c r="B136" s="889"/>
      <c r="C136" s="889"/>
      <c r="D136" s="889"/>
      <c r="E136" s="889"/>
      <c r="F136" s="889"/>
      <c r="G136" s="889"/>
      <c r="H136" s="889"/>
      <c r="I136" s="889"/>
      <c r="J136" s="889"/>
      <c r="K136" s="889"/>
      <c r="L136" s="889"/>
      <c r="M136" s="889"/>
      <c r="N136" s="889"/>
    </row>
    <row r="137" spans="1:14" x14ac:dyDescent="0.3">
      <c r="A137" s="889"/>
      <c r="B137" s="889"/>
      <c r="C137" s="889"/>
      <c r="D137" s="889"/>
      <c r="E137" s="889"/>
      <c r="F137" s="889"/>
      <c r="G137" s="889"/>
      <c r="H137" s="889"/>
      <c r="I137" s="889"/>
      <c r="J137" s="889"/>
      <c r="K137" s="889"/>
      <c r="L137" s="889"/>
      <c r="M137" s="889"/>
      <c r="N137" s="889"/>
    </row>
    <row r="138" spans="1:14" x14ac:dyDescent="0.3">
      <c r="A138" s="889"/>
      <c r="B138" s="889"/>
      <c r="C138" s="889"/>
      <c r="D138" s="889"/>
      <c r="E138" s="889"/>
      <c r="F138" s="889"/>
      <c r="G138" s="889"/>
      <c r="H138" s="889"/>
      <c r="I138" s="889"/>
      <c r="J138" s="889"/>
      <c r="K138" s="889"/>
      <c r="L138" s="889"/>
      <c r="M138" s="889"/>
      <c r="N138" s="889"/>
    </row>
    <row r="139" spans="1:14" x14ac:dyDescent="0.3">
      <c r="A139" s="889"/>
      <c r="B139" s="889"/>
      <c r="C139" s="889"/>
      <c r="D139" s="889"/>
      <c r="E139" s="889"/>
      <c r="F139" s="889"/>
      <c r="G139" s="889"/>
      <c r="H139" s="889"/>
      <c r="I139" s="889"/>
      <c r="J139" s="889"/>
      <c r="K139" s="889"/>
      <c r="L139" s="889"/>
      <c r="M139" s="889"/>
      <c r="N139" s="889"/>
    </row>
    <row r="140" spans="1:14" x14ac:dyDescent="0.3">
      <c r="A140" s="889"/>
      <c r="B140" s="889"/>
      <c r="C140" s="889"/>
      <c r="D140" s="889"/>
      <c r="E140" s="889"/>
      <c r="F140" s="889"/>
      <c r="G140" s="889"/>
      <c r="H140" s="889"/>
      <c r="I140" s="889"/>
      <c r="J140" s="889"/>
      <c r="K140" s="889"/>
      <c r="L140" s="889"/>
      <c r="M140" s="889"/>
      <c r="N140" s="889"/>
    </row>
    <row r="141" spans="1:14" x14ac:dyDescent="0.3">
      <c r="A141" s="889"/>
      <c r="B141" s="889"/>
      <c r="C141" s="889"/>
      <c r="D141" s="889"/>
      <c r="E141" s="889"/>
      <c r="F141" s="889"/>
      <c r="G141" s="889"/>
      <c r="H141" s="889"/>
      <c r="I141" s="889"/>
      <c r="J141" s="889"/>
      <c r="K141" s="889"/>
      <c r="L141" s="889"/>
      <c r="M141" s="889"/>
      <c r="N141" s="889"/>
    </row>
    <row r="142" spans="1:14" x14ac:dyDescent="0.3">
      <c r="A142" s="889"/>
      <c r="B142" s="889"/>
      <c r="C142" s="889"/>
      <c r="D142" s="889"/>
      <c r="E142" s="889"/>
      <c r="F142" s="889"/>
      <c r="G142" s="889"/>
      <c r="H142" s="889"/>
      <c r="I142" s="889"/>
      <c r="J142" s="889"/>
      <c r="K142" s="889"/>
      <c r="L142" s="889"/>
      <c r="M142" s="889"/>
      <c r="N142" s="889"/>
    </row>
    <row r="143" spans="1:14" x14ac:dyDescent="0.3">
      <c r="A143" s="889"/>
      <c r="B143" s="889"/>
      <c r="C143" s="889"/>
      <c r="D143" s="889"/>
      <c r="E143" s="889"/>
      <c r="F143" s="889"/>
      <c r="G143" s="889"/>
      <c r="H143" s="889"/>
      <c r="I143" s="889"/>
      <c r="J143" s="889"/>
      <c r="K143" s="889"/>
      <c r="L143" s="889"/>
      <c r="M143" s="889"/>
      <c r="N143" s="889"/>
    </row>
    <row r="144" spans="1:14" x14ac:dyDescent="0.3">
      <c r="A144" s="889"/>
      <c r="B144" s="889"/>
      <c r="C144" s="889"/>
      <c r="D144" s="889"/>
      <c r="E144" s="889"/>
      <c r="F144" s="889"/>
      <c r="G144" s="889"/>
      <c r="H144" s="889"/>
      <c r="I144" s="889"/>
      <c r="J144" s="889"/>
      <c r="K144" s="889"/>
      <c r="L144" s="889"/>
      <c r="M144" s="889"/>
      <c r="N144" s="889"/>
    </row>
    <row r="145" spans="1:14" x14ac:dyDescent="0.3">
      <c r="A145" s="889"/>
      <c r="B145" s="889"/>
      <c r="C145" s="889"/>
      <c r="D145" s="889"/>
      <c r="E145" s="889"/>
      <c r="F145" s="889"/>
      <c r="G145" s="889"/>
      <c r="H145" s="889"/>
      <c r="I145" s="889"/>
      <c r="J145" s="889"/>
      <c r="K145" s="889"/>
      <c r="L145" s="889"/>
      <c r="M145" s="889"/>
      <c r="N145" s="889"/>
    </row>
    <row r="146" spans="1:14" x14ac:dyDescent="0.3">
      <c r="A146" s="889"/>
      <c r="B146" s="889"/>
      <c r="C146" s="889"/>
      <c r="D146" s="889"/>
      <c r="E146" s="889"/>
      <c r="F146" s="889"/>
      <c r="G146" s="889"/>
      <c r="H146" s="889"/>
      <c r="I146" s="889"/>
      <c r="J146" s="889"/>
      <c r="K146" s="889"/>
      <c r="L146" s="889"/>
      <c r="M146" s="889"/>
      <c r="N146" s="889"/>
    </row>
    <row r="147" spans="1:14" x14ac:dyDescent="0.3">
      <c r="A147" s="889"/>
      <c r="B147" s="889"/>
      <c r="C147" s="889"/>
      <c r="D147" s="889"/>
      <c r="E147" s="889"/>
      <c r="F147" s="889"/>
      <c r="G147" s="889"/>
      <c r="H147" s="889"/>
      <c r="I147" s="889"/>
      <c r="J147" s="889"/>
      <c r="K147" s="889"/>
      <c r="L147" s="889"/>
      <c r="M147" s="889"/>
      <c r="N147" s="889"/>
    </row>
    <row r="148" spans="1:14" x14ac:dyDescent="0.3">
      <c r="A148" s="889"/>
      <c r="B148" s="889"/>
      <c r="C148" s="889"/>
      <c r="D148" s="889"/>
      <c r="E148" s="889"/>
      <c r="F148" s="889"/>
      <c r="G148" s="889"/>
      <c r="H148" s="889"/>
      <c r="I148" s="889"/>
      <c r="J148" s="889"/>
      <c r="K148" s="889"/>
      <c r="L148" s="889"/>
      <c r="M148" s="889"/>
      <c r="N148" s="889"/>
    </row>
    <row r="149" spans="1:14" x14ac:dyDescent="0.3">
      <c r="A149" s="889"/>
      <c r="B149" s="889"/>
      <c r="C149" s="889"/>
      <c r="D149" s="889"/>
      <c r="E149" s="889"/>
      <c r="F149" s="889"/>
      <c r="G149" s="889"/>
      <c r="H149" s="889"/>
      <c r="I149" s="889"/>
      <c r="J149" s="889"/>
      <c r="K149" s="889"/>
      <c r="L149" s="889"/>
      <c r="M149" s="889"/>
      <c r="N149" s="889"/>
    </row>
    <row r="150" spans="1:14" x14ac:dyDescent="0.3">
      <c r="A150" s="889"/>
      <c r="B150" s="889"/>
      <c r="C150" s="889"/>
      <c r="D150" s="889"/>
      <c r="E150" s="889"/>
      <c r="F150" s="889"/>
      <c r="G150" s="889"/>
      <c r="H150" s="889"/>
      <c r="I150" s="889"/>
      <c r="J150" s="889"/>
      <c r="K150" s="889"/>
      <c r="L150" s="889"/>
      <c r="M150" s="889"/>
      <c r="N150" s="889"/>
    </row>
    <row r="151" spans="1:14" x14ac:dyDescent="0.3">
      <c r="A151" s="889"/>
      <c r="B151" s="889"/>
      <c r="C151" s="889"/>
      <c r="D151" s="889"/>
      <c r="E151" s="889"/>
      <c r="F151" s="889"/>
      <c r="G151" s="889"/>
      <c r="H151" s="889"/>
      <c r="I151" s="889"/>
      <c r="J151" s="889"/>
      <c r="K151" s="889"/>
      <c r="L151" s="889"/>
      <c r="M151" s="889"/>
      <c r="N151" s="889"/>
    </row>
    <row r="152" spans="1:14" x14ac:dyDescent="0.3">
      <c r="A152" s="889"/>
      <c r="B152" s="889"/>
      <c r="C152" s="889"/>
      <c r="D152" s="889"/>
      <c r="E152" s="889"/>
      <c r="F152" s="889"/>
      <c r="G152" s="889"/>
      <c r="H152" s="889"/>
      <c r="I152" s="889"/>
      <c r="J152" s="889"/>
      <c r="K152" s="889"/>
      <c r="L152" s="889"/>
      <c r="M152" s="889"/>
      <c r="N152" s="889"/>
    </row>
    <row r="153" spans="1:14" x14ac:dyDescent="0.3">
      <c r="A153" s="889"/>
      <c r="B153" s="889"/>
      <c r="C153" s="889"/>
      <c r="D153" s="889"/>
      <c r="E153" s="889"/>
      <c r="F153" s="889"/>
      <c r="G153" s="889"/>
      <c r="H153" s="889"/>
      <c r="I153" s="889"/>
      <c r="J153" s="889"/>
      <c r="K153" s="889"/>
      <c r="L153" s="889"/>
      <c r="M153" s="889"/>
      <c r="N153" s="889"/>
    </row>
    <row r="154" spans="1:14" x14ac:dyDescent="0.3">
      <c r="A154" s="889"/>
      <c r="B154" s="889"/>
      <c r="C154" s="889"/>
      <c r="D154" s="889"/>
      <c r="E154" s="889"/>
      <c r="F154" s="889"/>
      <c r="G154" s="889"/>
      <c r="H154" s="889"/>
      <c r="I154" s="889"/>
      <c r="J154" s="889"/>
      <c r="K154" s="889"/>
      <c r="L154" s="889"/>
      <c r="M154" s="889"/>
      <c r="N154" s="889"/>
    </row>
    <row r="155" spans="1:14" x14ac:dyDescent="0.3">
      <c r="A155" s="889"/>
      <c r="B155" s="889"/>
      <c r="C155" s="889"/>
      <c r="D155" s="889"/>
      <c r="E155" s="889"/>
      <c r="F155" s="889"/>
      <c r="G155" s="889"/>
      <c r="H155" s="889"/>
      <c r="I155" s="889"/>
      <c r="J155" s="889"/>
      <c r="K155" s="889"/>
      <c r="L155" s="889"/>
      <c r="M155" s="889"/>
      <c r="N155" s="889"/>
    </row>
    <row r="156" spans="1:14" x14ac:dyDescent="0.3">
      <c r="A156" s="889"/>
      <c r="B156" s="889"/>
      <c r="C156" s="889"/>
      <c r="D156" s="889"/>
      <c r="E156" s="889"/>
      <c r="F156" s="889"/>
      <c r="G156" s="889"/>
      <c r="H156" s="889"/>
      <c r="I156" s="889"/>
      <c r="J156" s="889"/>
      <c r="K156" s="889"/>
      <c r="L156" s="889"/>
      <c r="M156" s="889"/>
      <c r="N156" s="889"/>
    </row>
    <row r="157" spans="1:14" x14ac:dyDescent="0.3">
      <c r="A157" s="889"/>
      <c r="B157" s="889"/>
      <c r="C157" s="889"/>
      <c r="D157" s="889"/>
      <c r="E157" s="889"/>
      <c r="F157" s="889"/>
      <c r="G157" s="889"/>
      <c r="H157" s="889"/>
      <c r="I157" s="889"/>
      <c r="J157" s="889"/>
      <c r="K157" s="889"/>
      <c r="L157" s="889"/>
      <c r="M157" s="889"/>
      <c r="N157" s="889"/>
    </row>
    <row r="158" spans="1:14" x14ac:dyDescent="0.3">
      <c r="A158" s="889"/>
      <c r="B158" s="889"/>
      <c r="C158" s="889"/>
      <c r="D158" s="889"/>
      <c r="E158" s="889"/>
      <c r="F158" s="889"/>
      <c r="G158" s="889"/>
      <c r="H158" s="889"/>
      <c r="I158" s="889"/>
      <c r="J158" s="889"/>
      <c r="K158" s="889"/>
      <c r="L158" s="889"/>
      <c r="M158" s="889"/>
      <c r="N158" s="889"/>
    </row>
    <row r="159" spans="1:14" x14ac:dyDescent="0.3">
      <c r="A159" s="889"/>
      <c r="B159" s="889"/>
      <c r="C159" s="889"/>
      <c r="D159" s="889"/>
      <c r="E159" s="889"/>
      <c r="F159" s="889"/>
      <c r="G159" s="889"/>
      <c r="H159" s="889"/>
      <c r="I159" s="889"/>
      <c r="J159" s="889"/>
      <c r="K159" s="889"/>
      <c r="L159" s="889"/>
      <c r="M159" s="889"/>
      <c r="N159" s="889"/>
    </row>
    <row r="160" spans="1:14" x14ac:dyDescent="0.3">
      <c r="A160" s="889"/>
      <c r="B160" s="889"/>
      <c r="C160" s="889"/>
      <c r="D160" s="889"/>
      <c r="E160" s="889"/>
      <c r="F160" s="889"/>
      <c r="G160" s="889"/>
      <c r="H160" s="889"/>
      <c r="I160" s="889"/>
      <c r="J160" s="889"/>
      <c r="K160" s="889"/>
      <c r="L160" s="889"/>
      <c r="M160" s="889"/>
      <c r="N160" s="889"/>
    </row>
    <row r="161" spans="1:14" x14ac:dyDescent="0.3">
      <c r="A161" s="889"/>
      <c r="B161" s="889"/>
      <c r="C161" s="889"/>
      <c r="D161" s="889"/>
      <c r="E161" s="889"/>
      <c r="F161" s="889"/>
      <c r="G161" s="889"/>
      <c r="H161" s="889"/>
      <c r="I161" s="889"/>
      <c r="J161" s="889"/>
      <c r="K161" s="889"/>
      <c r="L161" s="889"/>
      <c r="M161" s="889"/>
      <c r="N161" s="889"/>
    </row>
    <row r="162" spans="1:14" x14ac:dyDescent="0.3">
      <c r="A162" s="889"/>
      <c r="B162" s="889"/>
      <c r="C162" s="889"/>
      <c r="D162" s="889"/>
      <c r="E162" s="889"/>
      <c r="F162" s="889"/>
      <c r="G162" s="889"/>
      <c r="H162" s="889"/>
      <c r="I162" s="889"/>
      <c r="J162" s="889"/>
      <c r="K162" s="889"/>
      <c r="L162" s="889"/>
      <c r="M162" s="889"/>
      <c r="N162" s="889"/>
    </row>
    <row r="163" spans="1:14" x14ac:dyDescent="0.3">
      <c r="A163" s="889"/>
      <c r="B163" s="889"/>
      <c r="C163" s="889"/>
      <c r="D163" s="889"/>
      <c r="E163" s="889"/>
      <c r="F163" s="889"/>
      <c r="G163" s="889"/>
      <c r="H163" s="889"/>
      <c r="I163" s="889"/>
      <c r="J163" s="889"/>
      <c r="K163" s="889"/>
      <c r="L163" s="889"/>
      <c r="M163" s="889"/>
      <c r="N163" s="889"/>
    </row>
    <row r="164" spans="1:14" x14ac:dyDescent="0.3">
      <c r="A164" s="889"/>
      <c r="B164" s="889"/>
      <c r="C164" s="889"/>
      <c r="D164" s="889"/>
      <c r="E164" s="889"/>
      <c r="F164" s="889"/>
      <c r="G164" s="889"/>
      <c r="H164" s="889"/>
      <c r="I164" s="889"/>
      <c r="J164" s="889"/>
      <c r="K164" s="889"/>
      <c r="L164" s="889"/>
      <c r="M164" s="889"/>
      <c r="N164" s="889"/>
    </row>
    <row r="165" spans="1:14" x14ac:dyDescent="0.3">
      <c r="A165" s="889"/>
      <c r="B165" s="889"/>
      <c r="C165" s="889"/>
      <c r="D165" s="889"/>
      <c r="E165" s="889"/>
      <c r="F165" s="889"/>
      <c r="G165" s="889"/>
      <c r="H165" s="889"/>
      <c r="I165" s="889"/>
      <c r="J165" s="889"/>
      <c r="K165" s="889"/>
      <c r="L165" s="889"/>
      <c r="M165" s="889"/>
      <c r="N165" s="889"/>
    </row>
    <row r="166" spans="1:14" x14ac:dyDescent="0.3">
      <c r="A166" s="889"/>
      <c r="B166" s="889"/>
      <c r="C166" s="889"/>
      <c r="D166" s="889"/>
      <c r="E166" s="889"/>
      <c r="F166" s="889"/>
      <c r="G166" s="889"/>
      <c r="H166" s="889"/>
      <c r="I166" s="889"/>
      <c r="J166" s="889"/>
      <c r="K166" s="889"/>
      <c r="L166" s="889"/>
      <c r="M166" s="889"/>
      <c r="N166" s="889"/>
    </row>
    <row r="167" spans="1:14" x14ac:dyDescent="0.3">
      <c r="A167" s="889"/>
      <c r="B167" s="889"/>
      <c r="C167" s="889"/>
      <c r="D167" s="889"/>
      <c r="E167" s="889"/>
      <c r="F167" s="889"/>
      <c r="G167" s="889"/>
      <c r="H167" s="889"/>
      <c r="I167" s="889"/>
      <c r="J167" s="889"/>
      <c r="K167" s="889"/>
      <c r="L167" s="889"/>
      <c r="M167" s="889"/>
      <c r="N167" s="889"/>
    </row>
    <row r="168" spans="1:14" x14ac:dyDescent="0.3">
      <c r="A168" s="889"/>
      <c r="B168" s="889"/>
      <c r="C168" s="889"/>
      <c r="D168" s="889"/>
      <c r="E168" s="889"/>
      <c r="F168" s="889"/>
      <c r="G168" s="889"/>
      <c r="H168" s="889"/>
      <c r="I168" s="889"/>
      <c r="J168" s="889"/>
      <c r="K168" s="889"/>
      <c r="L168" s="889"/>
      <c r="M168" s="889"/>
      <c r="N168" s="889"/>
    </row>
    <row r="169" spans="1:14" x14ac:dyDescent="0.3">
      <c r="A169" s="889"/>
      <c r="B169" s="889"/>
      <c r="C169" s="889"/>
      <c r="D169" s="889"/>
      <c r="E169" s="889"/>
      <c r="F169" s="889"/>
      <c r="G169" s="889"/>
      <c r="H169" s="889"/>
      <c r="I169" s="889"/>
      <c r="J169" s="889"/>
      <c r="K169" s="889"/>
      <c r="L169" s="889"/>
      <c r="M169" s="889"/>
      <c r="N169" s="889"/>
    </row>
    <row r="170" spans="1:14" x14ac:dyDescent="0.3">
      <c r="A170" s="889"/>
      <c r="B170" s="889"/>
      <c r="C170" s="889"/>
      <c r="D170" s="889"/>
      <c r="E170" s="889"/>
      <c r="F170" s="889"/>
      <c r="G170" s="889"/>
      <c r="H170" s="889"/>
      <c r="I170" s="889"/>
      <c r="J170" s="889"/>
      <c r="K170" s="889"/>
      <c r="L170" s="889"/>
      <c r="M170" s="889"/>
      <c r="N170" s="889"/>
    </row>
    <row r="171" spans="1:14" x14ac:dyDescent="0.3">
      <c r="A171" s="889"/>
      <c r="B171" s="889"/>
      <c r="C171" s="889"/>
      <c r="D171" s="889"/>
      <c r="E171" s="889"/>
      <c r="F171" s="889"/>
      <c r="G171" s="889"/>
      <c r="H171" s="889"/>
      <c r="I171" s="889"/>
      <c r="J171" s="889"/>
      <c r="K171" s="889"/>
      <c r="L171" s="889"/>
      <c r="M171" s="889"/>
      <c r="N171" s="889"/>
    </row>
    <row r="172" spans="1:14" x14ac:dyDescent="0.3">
      <c r="A172" s="889"/>
      <c r="B172" s="889"/>
      <c r="C172" s="889"/>
      <c r="D172" s="889"/>
      <c r="E172" s="889"/>
      <c r="F172" s="889"/>
      <c r="G172" s="889"/>
      <c r="H172" s="889"/>
      <c r="I172" s="889"/>
      <c r="J172" s="889"/>
      <c r="K172" s="889"/>
      <c r="L172" s="889"/>
      <c r="M172" s="889"/>
      <c r="N172" s="889"/>
    </row>
    <row r="173" spans="1:14" x14ac:dyDescent="0.3">
      <c r="A173" s="889"/>
      <c r="B173" s="889"/>
      <c r="C173" s="889"/>
      <c r="D173" s="889"/>
      <c r="E173" s="889"/>
      <c r="F173" s="889"/>
      <c r="G173" s="889"/>
      <c r="H173" s="889"/>
      <c r="I173" s="889"/>
      <c r="J173" s="889"/>
      <c r="K173" s="889"/>
      <c r="L173" s="889"/>
      <c r="M173" s="889"/>
      <c r="N173" s="889"/>
    </row>
    <row r="174" spans="1:14" x14ac:dyDescent="0.3">
      <c r="A174" s="889"/>
      <c r="B174" s="889"/>
      <c r="C174" s="889"/>
      <c r="D174" s="889"/>
      <c r="E174" s="889"/>
      <c r="F174" s="889"/>
      <c r="G174" s="889"/>
      <c r="H174" s="889"/>
      <c r="I174" s="889"/>
      <c r="J174" s="889"/>
      <c r="K174" s="889"/>
      <c r="L174" s="889"/>
      <c r="M174" s="889"/>
      <c r="N174" s="889"/>
    </row>
    <row r="175" spans="1:14" x14ac:dyDescent="0.3">
      <c r="A175" s="889"/>
      <c r="B175" s="889"/>
      <c r="C175" s="889"/>
      <c r="D175" s="889"/>
      <c r="E175" s="889"/>
      <c r="F175" s="889"/>
      <c r="G175" s="889"/>
      <c r="H175" s="889"/>
      <c r="I175" s="889"/>
      <c r="J175" s="889"/>
      <c r="K175" s="889"/>
      <c r="L175" s="889"/>
      <c r="M175" s="889"/>
      <c r="N175" s="889"/>
    </row>
    <row r="176" spans="1:14" x14ac:dyDescent="0.3">
      <c r="A176" s="889"/>
      <c r="B176" s="889"/>
      <c r="C176" s="889"/>
      <c r="D176" s="889"/>
      <c r="E176" s="889"/>
      <c r="F176" s="889"/>
      <c r="G176" s="889"/>
      <c r="H176" s="889"/>
      <c r="I176" s="889"/>
      <c r="J176" s="889"/>
      <c r="K176" s="889"/>
      <c r="L176" s="889"/>
      <c r="M176" s="889"/>
      <c r="N176" s="889"/>
    </row>
    <row r="177" spans="1:14" x14ac:dyDescent="0.3">
      <c r="A177" s="889"/>
      <c r="B177" s="889"/>
      <c r="C177" s="889"/>
      <c r="D177" s="889"/>
      <c r="E177" s="889"/>
      <c r="F177" s="889"/>
      <c r="G177" s="889"/>
      <c r="H177" s="889"/>
      <c r="I177" s="889"/>
      <c r="J177" s="889"/>
      <c r="K177" s="889"/>
      <c r="L177" s="889"/>
      <c r="M177" s="889"/>
      <c r="N177" s="889"/>
    </row>
    <row r="178" spans="1:14" x14ac:dyDescent="0.3">
      <c r="A178" s="889"/>
      <c r="B178" s="889"/>
      <c r="C178" s="889"/>
      <c r="D178" s="889"/>
      <c r="E178" s="889"/>
      <c r="F178" s="889"/>
      <c r="G178" s="889"/>
      <c r="H178" s="889"/>
      <c r="I178" s="889"/>
      <c r="J178" s="889"/>
      <c r="K178" s="889"/>
      <c r="L178" s="889"/>
      <c r="M178" s="889"/>
      <c r="N178" s="889"/>
    </row>
    <row r="179" spans="1:14" x14ac:dyDescent="0.3">
      <c r="A179" s="889"/>
      <c r="B179" s="889"/>
      <c r="C179" s="889"/>
      <c r="D179" s="889"/>
      <c r="E179" s="889"/>
      <c r="F179" s="889"/>
      <c r="G179" s="889"/>
      <c r="H179" s="889"/>
      <c r="I179" s="889"/>
      <c r="J179" s="889"/>
      <c r="K179" s="889"/>
      <c r="L179" s="889"/>
      <c r="M179" s="889"/>
      <c r="N179" s="889"/>
    </row>
    <row r="180" spans="1:14" x14ac:dyDescent="0.3">
      <c r="A180" s="889"/>
      <c r="B180" s="889"/>
      <c r="C180" s="889"/>
      <c r="D180" s="889"/>
      <c r="E180" s="889"/>
      <c r="F180" s="889"/>
      <c r="G180" s="889"/>
      <c r="H180" s="889"/>
      <c r="I180" s="889"/>
      <c r="J180" s="889"/>
      <c r="K180" s="889"/>
      <c r="L180" s="889"/>
      <c r="M180" s="889"/>
      <c r="N180" s="889"/>
    </row>
    <row r="181" spans="1:14" x14ac:dyDescent="0.3">
      <c r="A181" s="889"/>
      <c r="B181" s="889"/>
      <c r="C181" s="889"/>
      <c r="D181" s="889"/>
      <c r="E181" s="889"/>
      <c r="F181" s="889"/>
      <c r="G181" s="889"/>
      <c r="H181" s="889"/>
      <c r="I181" s="889"/>
      <c r="J181" s="889"/>
      <c r="K181" s="889"/>
      <c r="L181" s="889"/>
      <c r="M181" s="889"/>
      <c r="N181" s="889"/>
    </row>
    <row r="182" spans="1:14" x14ac:dyDescent="0.3">
      <c r="A182" s="889"/>
      <c r="B182" s="889"/>
      <c r="C182" s="889"/>
      <c r="D182" s="889"/>
      <c r="E182" s="889"/>
      <c r="F182" s="889"/>
      <c r="G182" s="889"/>
      <c r="H182" s="889"/>
      <c r="I182" s="889"/>
      <c r="J182" s="889"/>
      <c r="K182" s="889"/>
      <c r="L182" s="889"/>
      <c r="M182" s="889"/>
      <c r="N182" s="889"/>
    </row>
    <row r="183" spans="1:14" x14ac:dyDescent="0.3">
      <c r="A183" s="889"/>
      <c r="B183" s="889"/>
      <c r="C183" s="889"/>
      <c r="D183" s="889"/>
      <c r="E183" s="889"/>
      <c r="F183" s="889"/>
      <c r="G183" s="889"/>
      <c r="H183" s="889"/>
      <c r="I183" s="889"/>
      <c r="J183" s="889"/>
      <c r="K183" s="889"/>
      <c r="L183" s="889"/>
      <c r="M183" s="889"/>
      <c r="N183" s="889"/>
    </row>
    <row r="184" spans="1:14" x14ac:dyDescent="0.3">
      <c r="A184" s="889"/>
      <c r="B184" s="889"/>
      <c r="C184" s="889"/>
      <c r="D184" s="889"/>
      <c r="E184" s="889"/>
      <c r="F184" s="889"/>
      <c r="G184" s="889"/>
      <c r="H184" s="889"/>
      <c r="I184" s="889"/>
      <c r="J184" s="889"/>
      <c r="K184" s="889"/>
      <c r="L184" s="889"/>
      <c r="M184" s="889"/>
      <c r="N184" s="889"/>
    </row>
    <row r="185" spans="1:14" x14ac:dyDescent="0.3">
      <c r="A185" s="889"/>
      <c r="B185" s="889"/>
      <c r="C185" s="889"/>
      <c r="D185" s="889"/>
      <c r="E185" s="889"/>
      <c r="F185" s="889"/>
      <c r="G185" s="889"/>
      <c r="H185" s="889"/>
      <c r="I185" s="889"/>
      <c r="J185" s="889"/>
      <c r="K185" s="889"/>
      <c r="L185" s="889"/>
      <c r="M185" s="889"/>
      <c r="N185" s="889"/>
    </row>
    <row r="186" spans="1:14" x14ac:dyDescent="0.3">
      <c r="A186" s="889"/>
      <c r="B186" s="889"/>
      <c r="C186" s="889"/>
      <c r="D186" s="889"/>
      <c r="E186" s="889"/>
      <c r="F186" s="889"/>
      <c r="G186" s="889"/>
      <c r="H186" s="889"/>
      <c r="I186" s="889"/>
      <c r="J186" s="889"/>
      <c r="K186" s="889"/>
      <c r="L186" s="889"/>
      <c r="M186" s="889"/>
      <c r="N186" s="889"/>
    </row>
    <row r="187" spans="1:14" x14ac:dyDescent="0.3">
      <c r="A187" s="889"/>
      <c r="B187" s="889"/>
      <c r="C187" s="889"/>
      <c r="D187" s="889"/>
      <c r="E187" s="889"/>
      <c r="F187" s="889"/>
      <c r="G187" s="889"/>
      <c r="H187" s="889"/>
      <c r="I187" s="889"/>
      <c r="J187" s="889"/>
      <c r="K187" s="889"/>
      <c r="L187" s="889"/>
      <c r="M187" s="889"/>
      <c r="N187" s="889"/>
    </row>
    <row r="188" spans="1:14" x14ac:dyDescent="0.3">
      <c r="A188" s="889"/>
      <c r="B188" s="889"/>
      <c r="C188" s="889"/>
      <c r="D188" s="889"/>
      <c r="E188" s="889"/>
      <c r="F188" s="889"/>
      <c r="G188" s="889"/>
      <c r="H188" s="889"/>
      <c r="I188" s="889"/>
      <c r="J188" s="889"/>
      <c r="K188" s="889"/>
      <c r="L188" s="889"/>
      <c r="M188" s="889"/>
      <c r="N188" s="889"/>
    </row>
    <row r="189" spans="1:14" x14ac:dyDescent="0.3">
      <c r="A189" s="889"/>
      <c r="B189" s="889"/>
      <c r="C189" s="889"/>
      <c r="D189" s="889"/>
      <c r="E189" s="889"/>
      <c r="F189" s="889"/>
      <c r="G189" s="889"/>
      <c r="H189" s="889"/>
      <c r="I189" s="889"/>
      <c r="J189" s="889"/>
      <c r="K189" s="889"/>
      <c r="L189" s="889"/>
      <c r="M189" s="889"/>
      <c r="N189" s="889"/>
    </row>
    <row r="190" spans="1:14" x14ac:dyDescent="0.3">
      <c r="A190" s="889"/>
      <c r="B190" s="889"/>
      <c r="C190" s="889"/>
      <c r="D190" s="889"/>
      <c r="E190" s="889"/>
      <c r="F190" s="889"/>
      <c r="G190" s="889"/>
      <c r="H190" s="889"/>
      <c r="I190" s="889"/>
      <c r="J190" s="889"/>
      <c r="K190" s="889"/>
      <c r="L190" s="889"/>
      <c r="M190" s="889"/>
      <c r="N190" s="889"/>
    </row>
    <row r="191" spans="1:14" x14ac:dyDescent="0.3">
      <c r="A191" s="889"/>
      <c r="B191" s="889"/>
      <c r="C191" s="889"/>
      <c r="D191" s="889"/>
      <c r="E191" s="889"/>
      <c r="F191" s="889"/>
      <c r="G191" s="889"/>
      <c r="H191" s="889"/>
      <c r="I191" s="889"/>
      <c r="J191" s="889"/>
      <c r="K191" s="889"/>
      <c r="L191" s="889"/>
      <c r="M191" s="889"/>
      <c r="N191" s="889"/>
    </row>
    <row r="192" spans="1:14" x14ac:dyDescent="0.3">
      <c r="A192" s="889"/>
      <c r="B192" s="889"/>
      <c r="C192" s="889"/>
      <c r="D192" s="889"/>
      <c r="E192" s="889"/>
      <c r="F192" s="889"/>
      <c r="G192" s="889"/>
      <c r="H192" s="889"/>
      <c r="I192" s="889"/>
      <c r="J192" s="889"/>
      <c r="K192" s="889"/>
      <c r="L192" s="889"/>
      <c r="M192" s="889"/>
      <c r="N192" s="889"/>
    </row>
    <row r="193" spans="1:14" x14ac:dyDescent="0.3">
      <c r="A193" s="889"/>
      <c r="B193" s="889"/>
      <c r="C193" s="889"/>
      <c r="D193" s="889"/>
      <c r="E193" s="889"/>
      <c r="F193" s="889"/>
      <c r="G193" s="889"/>
      <c r="H193" s="889"/>
      <c r="I193" s="889"/>
      <c r="J193" s="889"/>
      <c r="K193" s="889"/>
      <c r="L193" s="889"/>
      <c r="M193" s="889"/>
      <c r="N193" s="889"/>
    </row>
    <row r="194" spans="1:14" x14ac:dyDescent="0.3">
      <c r="A194" s="889"/>
      <c r="B194" s="889"/>
      <c r="C194" s="889"/>
      <c r="D194" s="889"/>
      <c r="E194" s="889"/>
      <c r="F194" s="889"/>
      <c r="G194" s="889"/>
      <c r="H194" s="889"/>
      <c r="I194" s="889"/>
      <c r="J194" s="889"/>
      <c r="K194" s="889"/>
      <c r="L194" s="889"/>
      <c r="M194" s="889"/>
      <c r="N194" s="889"/>
    </row>
    <row r="195" spans="1:14" x14ac:dyDescent="0.3">
      <c r="A195" s="889"/>
      <c r="B195" s="889"/>
      <c r="C195" s="889"/>
      <c r="D195" s="889"/>
      <c r="E195" s="889"/>
      <c r="F195" s="889"/>
      <c r="G195" s="889"/>
      <c r="H195" s="889"/>
      <c r="I195" s="889"/>
      <c r="J195" s="889"/>
      <c r="K195" s="889"/>
      <c r="L195" s="889"/>
      <c r="M195" s="889"/>
      <c r="N195" s="889"/>
    </row>
    <row r="196" spans="1:14" x14ac:dyDescent="0.3">
      <c r="A196" s="889"/>
      <c r="B196" s="889"/>
      <c r="C196" s="889"/>
      <c r="D196" s="889"/>
      <c r="E196" s="889"/>
      <c r="F196" s="889"/>
      <c r="G196" s="889"/>
      <c r="H196" s="889"/>
      <c r="I196" s="889"/>
      <c r="J196" s="889"/>
      <c r="K196" s="889"/>
      <c r="L196" s="889"/>
      <c r="M196" s="889"/>
      <c r="N196" s="889"/>
    </row>
    <row r="197" spans="1:14" x14ac:dyDescent="0.3">
      <c r="A197" s="889"/>
      <c r="B197" s="889"/>
      <c r="C197" s="889"/>
      <c r="D197" s="889"/>
      <c r="E197" s="889"/>
      <c r="F197" s="889"/>
      <c r="G197" s="889"/>
      <c r="H197" s="889"/>
      <c r="I197" s="889"/>
      <c r="J197" s="889"/>
      <c r="K197" s="889"/>
      <c r="L197" s="889"/>
      <c r="M197" s="889"/>
      <c r="N197" s="889"/>
    </row>
    <row r="198" spans="1:14" x14ac:dyDescent="0.3">
      <c r="A198" s="889"/>
      <c r="B198" s="889"/>
      <c r="C198" s="889"/>
      <c r="D198" s="889"/>
      <c r="E198" s="889"/>
      <c r="F198" s="889"/>
      <c r="G198" s="889"/>
      <c r="H198" s="889"/>
      <c r="I198" s="889"/>
      <c r="J198" s="889"/>
      <c r="K198" s="889"/>
      <c r="L198" s="889"/>
      <c r="M198" s="889"/>
      <c r="N198" s="889"/>
    </row>
    <row r="199" spans="1:14" x14ac:dyDescent="0.3">
      <c r="A199" s="889"/>
      <c r="B199" s="889"/>
      <c r="C199" s="889"/>
      <c r="D199" s="889"/>
      <c r="E199" s="889"/>
      <c r="F199" s="889"/>
      <c r="G199" s="889"/>
      <c r="H199" s="889"/>
      <c r="I199" s="889"/>
      <c r="J199" s="889"/>
      <c r="K199" s="889"/>
      <c r="L199" s="889"/>
      <c r="M199" s="889"/>
      <c r="N199" s="889"/>
    </row>
    <row r="200" spans="1:14" x14ac:dyDescent="0.3">
      <c r="A200" s="889"/>
      <c r="B200" s="889"/>
      <c r="C200" s="889"/>
      <c r="D200" s="889"/>
      <c r="E200" s="889"/>
      <c r="F200" s="889"/>
      <c r="G200" s="889"/>
      <c r="H200" s="889"/>
      <c r="I200" s="889"/>
      <c r="J200" s="889"/>
      <c r="K200" s="889"/>
      <c r="L200" s="889"/>
      <c r="M200" s="889"/>
      <c r="N200" s="889"/>
    </row>
    <row r="201" spans="1:14" x14ac:dyDescent="0.3">
      <c r="A201" s="889"/>
      <c r="B201" s="889"/>
      <c r="C201" s="889"/>
      <c r="D201" s="889"/>
      <c r="E201" s="889"/>
      <c r="F201" s="889"/>
      <c r="G201" s="889"/>
      <c r="H201" s="889"/>
      <c r="I201" s="889"/>
      <c r="J201" s="889"/>
      <c r="K201" s="889"/>
      <c r="L201" s="889"/>
      <c r="M201" s="889"/>
      <c r="N201" s="889"/>
    </row>
    <row r="202" spans="1:14" x14ac:dyDescent="0.3">
      <c r="A202" s="889"/>
      <c r="B202" s="889"/>
      <c r="C202" s="889"/>
      <c r="D202" s="889"/>
      <c r="E202" s="889"/>
      <c r="F202" s="889"/>
      <c r="G202" s="889"/>
      <c r="H202" s="889"/>
      <c r="I202" s="889"/>
      <c r="J202" s="889"/>
      <c r="K202" s="889"/>
      <c r="L202" s="889"/>
      <c r="M202" s="889"/>
      <c r="N202" s="889"/>
    </row>
    <row r="203" spans="1:14" x14ac:dyDescent="0.3">
      <c r="A203" s="889"/>
      <c r="B203" s="889"/>
      <c r="C203" s="889"/>
      <c r="D203" s="889"/>
      <c r="E203" s="889"/>
      <c r="F203" s="889"/>
      <c r="G203" s="889"/>
      <c r="H203" s="889"/>
      <c r="I203" s="889"/>
      <c r="J203" s="889"/>
      <c r="K203" s="889"/>
      <c r="L203" s="889"/>
      <c r="M203" s="889"/>
      <c r="N203" s="889"/>
    </row>
    <row r="204" spans="1:14" x14ac:dyDescent="0.3">
      <c r="A204" s="889"/>
      <c r="B204" s="889"/>
      <c r="C204" s="889"/>
      <c r="D204" s="889"/>
      <c r="E204" s="889"/>
      <c r="F204" s="889"/>
      <c r="G204" s="889"/>
      <c r="H204" s="889"/>
      <c r="I204" s="889"/>
      <c r="J204" s="889"/>
      <c r="K204" s="889"/>
      <c r="L204" s="889"/>
      <c r="M204" s="889"/>
      <c r="N204" s="889"/>
    </row>
    <row r="205" spans="1:14" x14ac:dyDescent="0.3">
      <c r="A205" s="889"/>
      <c r="B205" s="889"/>
      <c r="C205" s="889"/>
      <c r="D205" s="889"/>
      <c r="E205" s="889"/>
      <c r="F205" s="889"/>
      <c r="G205" s="889"/>
      <c r="H205" s="889"/>
      <c r="I205" s="889"/>
      <c r="J205" s="889"/>
      <c r="K205" s="889"/>
      <c r="L205" s="889"/>
      <c r="M205" s="889"/>
      <c r="N205" s="889"/>
    </row>
    <row r="206" spans="1:14" x14ac:dyDescent="0.3">
      <c r="A206" s="889"/>
      <c r="B206" s="889"/>
      <c r="C206" s="889"/>
      <c r="D206" s="889"/>
      <c r="E206" s="889"/>
      <c r="F206" s="889"/>
      <c r="G206" s="889"/>
      <c r="H206" s="889"/>
      <c r="I206" s="889"/>
      <c r="J206" s="889"/>
      <c r="K206" s="889"/>
      <c r="L206" s="889"/>
      <c r="M206" s="889"/>
      <c r="N206" s="889"/>
    </row>
    <row r="207" spans="1:14" x14ac:dyDescent="0.3">
      <c r="A207" s="889"/>
      <c r="B207" s="889"/>
      <c r="C207" s="889"/>
      <c r="D207" s="889"/>
      <c r="E207" s="889"/>
      <c r="F207" s="889"/>
      <c r="G207" s="889"/>
      <c r="H207" s="889"/>
      <c r="I207" s="889"/>
      <c r="J207" s="889"/>
      <c r="K207" s="889"/>
      <c r="L207" s="889"/>
      <c r="M207" s="889"/>
      <c r="N207" s="889"/>
    </row>
    <row r="208" spans="1:14" x14ac:dyDescent="0.3">
      <c r="A208" s="889"/>
      <c r="B208" s="889"/>
      <c r="C208" s="889"/>
      <c r="D208" s="889"/>
      <c r="E208" s="889"/>
      <c r="F208" s="889"/>
      <c r="G208" s="889"/>
      <c r="H208" s="889"/>
      <c r="I208" s="889"/>
      <c r="J208" s="890"/>
      <c r="K208" s="890"/>
      <c r="L208" s="890"/>
      <c r="M208" s="890"/>
      <c r="N208" s="890"/>
    </row>
    <row r="209" spans="1:9" x14ac:dyDescent="0.3">
      <c r="A209" s="889"/>
      <c r="B209" s="889"/>
      <c r="C209" s="889"/>
      <c r="D209" s="889"/>
      <c r="E209" s="889"/>
      <c r="F209" s="889"/>
      <c r="G209" s="889"/>
      <c r="H209" s="889"/>
      <c r="I209" s="889"/>
    </row>
    <row r="210" spans="1:9" x14ac:dyDescent="0.3">
      <c r="A210" s="889"/>
      <c r="B210" s="889"/>
      <c r="C210" s="889"/>
      <c r="D210" s="889"/>
      <c r="E210" s="889"/>
      <c r="F210" s="889"/>
      <c r="G210" s="889"/>
      <c r="H210" s="889"/>
      <c r="I210" s="889"/>
    </row>
    <row r="211" spans="1:9" x14ac:dyDescent="0.3">
      <c r="A211" s="889"/>
      <c r="B211" s="889"/>
      <c r="C211" s="889"/>
      <c r="D211" s="889"/>
      <c r="E211" s="889"/>
      <c r="F211" s="889"/>
      <c r="G211" s="889"/>
      <c r="H211" s="889"/>
      <c r="I211" s="889"/>
    </row>
    <row r="212" spans="1:9" x14ac:dyDescent="0.3">
      <c r="A212" s="889"/>
      <c r="B212" s="889"/>
      <c r="C212" s="889"/>
      <c r="D212" s="889"/>
      <c r="E212" s="889"/>
      <c r="F212" s="889"/>
      <c r="G212" s="889"/>
      <c r="H212" s="889"/>
      <c r="I212" s="889"/>
    </row>
    <row r="213" spans="1:9" x14ac:dyDescent="0.3">
      <c r="A213" s="889"/>
      <c r="B213" s="889"/>
      <c r="C213" s="889"/>
      <c r="D213" s="889"/>
      <c r="E213" s="889"/>
      <c r="F213" s="889"/>
      <c r="G213" s="889"/>
      <c r="H213" s="889"/>
      <c r="I213" s="889"/>
    </row>
    <row r="214" spans="1:9" x14ac:dyDescent="0.3">
      <c r="A214" s="889"/>
      <c r="B214" s="889"/>
      <c r="C214" s="889"/>
      <c r="D214" s="889"/>
      <c r="E214" s="889"/>
      <c r="F214" s="889"/>
      <c r="G214" s="889"/>
      <c r="H214" s="889"/>
      <c r="I214" s="889"/>
    </row>
    <row r="215" spans="1:9" x14ac:dyDescent="0.3">
      <c r="A215" s="889"/>
      <c r="B215" s="889"/>
      <c r="C215" s="889"/>
      <c r="D215" s="889"/>
      <c r="E215" s="889"/>
      <c r="F215" s="889"/>
      <c r="G215" s="889"/>
      <c r="H215" s="889"/>
      <c r="I215" s="889"/>
    </row>
    <row r="216" spans="1:9" x14ac:dyDescent="0.3">
      <c r="A216" s="889"/>
      <c r="B216" s="889"/>
      <c r="C216" s="889"/>
      <c r="D216" s="889"/>
      <c r="E216" s="889"/>
      <c r="F216" s="889"/>
      <c r="G216" s="889"/>
      <c r="H216" s="889"/>
      <c r="I216" s="889"/>
    </row>
    <row r="217" spans="1:9" x14ac:dyDescent="0.3">
      <c r="A217" s="889"/>
      <c r="B217" s="889"/>
      <c r="C217" s="889"/>
      <c r="D217" s="889"/>
      <c r="E217" s="889"/>
      <c r="F217" s="889"/>
      <c r="G217" s="889"/>
      <c r="H217" s="889"/>
      <c r="I217" s="889"/>
    </row>
    <row r="218" spans="1:9" x14ac:dyDescent="0.3">
      <c r="A218" s="889"/>
      <c r="B218" s="889"/>
      <c r="C218" s="889"/>
      <c r="D218" s="889"/>
      <c r="E218" s="889"/>
      <c r="F218" s="889"/>
      <c r="G218" s="889"/>
      <c r="H218" s="889"/>
      <c r="I218" s="889"/>
    </row>
    <row r="219" spans="1:9" x14ac:dyDescent="0.3">
      <c r="A219" s="889"/>
      <c r="B219" s="889"/>
      <c r="C219" s="889"/>
      <c r="D219" s="889"/>
      <c r="E219" s="889"/>
      <c r="F219" s="889"/>
      <c r="G219" s="889"/>
      <c r="H219" s="889"/>
      <c r="I219" s="889"/>
    </row>
    <row r="220" spans="1:9" x14ac:dyDescent="0.3">
      <c r="A220" s="889"/>
      <c r="B220" s="889"/>
      <c r="C220" s="889"/>
      <c r="D220" s="889"/>
      <c r="E220" s="889"/>
      <c r="F220" s="889"/>
      <c r="G220" s="889"/>
      <c r="H220" s="889"/>
      <c r="I220" s="889"/>
    </row>
    <row r="221" spans="1:9" x14ac:dyDescent="0.3">
      <c r="A221" s="889"/>
      <c r="B221" s="889"/>
      <c r="C221" s="889"/>
      <c r="D221" s="889"/>
      <c r="E221" s="889"/>
      <c r="F221" s="889"/>
      <c r="G221" s="889"/>
      <c r="H221" s="889"/>
      <c r="I221" s="889"/>
    </row>
    <row r="222" spans="1:9" x14ac:dyDescent="0.3">
      <c r="A222" s="889"/>
      <c r="B222" s="889"/>
      <c r="C222" s="889"/>
      <c r="D222" s="889"/>
      <c r="E222" s="889"/>
      <c r="F222" s="889"/>
      <c r="G222" s="889"/>
      <c r="H222" s="889"/>
      <c r="I222" s="889"/>
    </row>
    <row r="223" spans="1:9" x14ac:dyDescent="0.3">
      <c r="A223" s="889"/>
      <c r="B223" s="889"/>
      <c r="C223" s="889"/>
      <c r="D223" s="889"/>
      <c r="E223" s="889"/>
      <c r="F223" s="889"/>
      <c r="G223" s="889"/>
      <c r="H223" s="889"/>
      <c r="I223" s="889"/>
    </row>
    <row r="224" spans="1:9" x14ac:dyDescent="0.3">
      <c r="A224" s="889"/>
      <c r="B224" s="889"/>
      <c r="C224" s="889"/>
      <c r="D224" s="889"/>
      <c r="E224" s="889"/>
      <c r="F224" s="889"/>
      <c r="G224" s="889"/>
      <c r="H224" s="889"/>
      <c r="I224" s="889"/>
    </row>
    <row r="225" spans="1:9" x14ac:dyDescent="0.3">
      <c r="A225" s="889"/>
      <c r="B225" s="889"/>
      <c r="C225" s="889"/>
      <c r="D225" s="889"/>
      <c r="E225" s="889"/>
      <c r="F225" s="889"/>
      <c r="G225" s="889"/>
      <c r="H225" s="889"/>
      <c r="I225" s="889"/>
    </row>
    <row r="226" spans="1:9" x14ac:dyDescent="0.3">
      <c r="A226" s="889"/>
      <c r="B226" s="889"/>
      <c r="C226" s="889"/>
      <c r="D226" s="889"/>
      <c r="E226" s="889"/>
      <c r="F226" s="889"/>
      <c r="G226" s="889"/>
      <c r="H226" s="889"/>
      <c r="I226" s="889"/>
    </row>
    <row r="227" spans="1:9" x14ac:dyDescent="0.3">
      <c r="A227" s="889"/>
      <c r="B227" s="889"/>
      <c r="C227" s="889"/>
      <c r="D227" s="889"/>
      <c r="E227" s="889"/>
      <c r="F227" s="889"/>
      <c r="G227" s="889"/>
      <c r="H227" s="889"/>
      <c r="I227" s="889"/>
    </row>
    <row r="228" spans="1:9" x14ac:dyDescent="0.3">
      <c r="A228" s="889"/>
      <c r="B228" s="889"/>
      <c r="C228" s="889"/>
      <c r="D228" s="889"/>
      <c r="E228" s="889"/>
      <c r="F228" s="889"/>
      <c r="G228" s="889"/>
      <c r="H228" s="889"/>
      <c r="I228" s="889"/>
    </row>
    <row r="229" spans="1:9" x14ac:dyDescent="0.3">
      <c r="A229" s="889"/>
      <c r="B229" s="889"/>
      <c r="C229" s="889"/>
      <c r="D229" s="889"/>
      <c r="E229" s="889"/>
      <c r="F229" s="889"/>
      <c r="G229" s="889"/>
      <c r="H229" s="889"/>
      <c r="I229" s="889"/>
    </row>
    <row r="230" spans="1:9" x14ac:dyDescent="0.3">
      <c r="A230" s="889"/>
      <c r="B230" s="889"/>
      <c r="C230" s="889"/>
      <c r="D230" s="889"/>
      <c r="E230" s="889"/>
      <c r="F230" s="889"/>
      <c r="G230" s="889"/>
      <c r="H230" s="889"/>
      <c r="I230" s="889"/>
    </row>
    <row r="231" spans="1:9" x14ac:dyDescent="0.3">
      <c r="A231" s="889"/>
      <c r="B231" s="889"/>
      <c r="C231" s="889"/>
      <c r="D231" s="889"/>
      <c r="E231" s="889"/>
      <c r="F231" s="889"/>
      <c r="G231" s="889"/>
      <c r="H231" s="889"/>
      <c r="I231" s="889"/>
    </row>
    <row r="232" spans="1:9" x14ac:dyDescent="0.3">
      <c r="A232" s="889"/>
      <c r="B232" s="889"/>
      <c r="C232" s="889"/>
      <c r="D232" s="889"/>
      <c r="E232" s="889"/>
      <c r="F232" s="889"/>
      <c r="G232" s="889"/>
      <c r="H232" s="889"/>
      <c r="I232" s="889"/>
    </row>
    <row r="233" spans="1:9" x14ac:dyDescent="0.3">
      <c r="A233" s="889"/>
      <c r="B233" s="889"/>
      <c r="C233" s="889"/>
      <c r="D233" s="889"/>
      <c r="E233" s="889"/>
      <c r="F233" s="889"/>
      <c r="G233" s="889"/>
      <c r="H233" s="889"/>
      <c r="I233" s="889"/>
    </row>
    <row r="234" spans="1:9" x14ac:dyDescent="0.3">
      <c r="A234" s="889"/>
      <c r="B234" s="889"/>
      <c r="C234" s="889"/>
      <c r="D234" s="889"/>
      <c r="E234" s="889"/>
      <c r="F234" s="889"/>
      <c r="G234" s="889"/>
      <c r="H234" s="889"/>
      <c r="I234" s="889"/>
    </row>
    <row r="235" spans="1:9" x14ac:dyDescent="0.3">
      <c r="A235" s="889"/>
      <c r="B235" s="889"/>
      <c r="C235" s="889"/>
      <c r="D235" s="889"/>
      <c r="E235" s="889"/>
      <c r="F235" s="889"/>
      <c r="G235" s="889"/>
      <c r="H235" s="889"/>
      <c r="I235" s="889"/>
    </row>
    <row r="236" spans="1:9" x14ac:dyDescent="0.3">
      <c r="A236" s="889"/>
      <c r="B236" s="889"/>
      <c r="C236" s="889"/>
      <c r="D236" s="889"/>
      <c r="E236" s="889"/>
      <c r="F236" s="889"/>
      <c r="G236" s="889"/>
      <c r="H236" s="889"/>
      <c r="I236" s="889"/>
    </row>
    <row r="237" spans="1:9" x14ac:dyDescent="0.3">
      <c r="A237" s="889"/>
      <c r="B237" s="889"/>
      <c r="C237" s="889"/>
      <c r="D237" s="889"/>
      <c r="E237" s="889"/>
      <c r="F237" s="889"/>
      <c r="G237" s="889"/>
      <c r="H237" s="889"/>
      <c r="I237" s="889"/>
    </row>
    <row r="238" spans="1:9" x14ac:dyDescent="0.3">
      <c r="A238" s="889"/>
      <c r="B238" s="889"/>
      <c r="C238" s="889"/>
      <c r="D238" s="889"/>
      <c r="E238" s="889"/>
      <c r="F238" s="889"/>
      <c r="G238" s="889"/>
      <c r="H238" s="889"/>
      <c r="I238" s="889"/>
    </row>
    <row r="239" spans="1:9" x14ac:dyDescent="0.3">
      <c r="A239" s="889"/>
      <c r="B239" s="889"/>
      <c r="C239" s="889"/>
      <c r="D239" s="889"/>
      <c r="E239" s="889"/>
      <c r="F239" s="889"/>
      <c r="G239" s="889"/>
      <c r="H239" s="889"/>
      <c r="I239" s="889"/>
    </row>
    <row r="240" spans="1:9" x14ac:dyDescent="0.3">
      <c r="A240" s="889"/>
      <c r="B240" s="889"/>
      <c r="C240" s="889"/>
      <c r="D240" s="889"/>
      <c r="E240" s="889"/>
      <c r="F240" s="889"/>
      <c r="G240" s="889"/>
      <c r="H240" s="889"/>
      <c r="I240" s="889"/>
    </row>
    <row r="241" spans="1:9" x14ac:dyDescent="0.3">
      <c r="A241" s="889"/>
      <c r="B241" s="889"/>
      <c r="C241" s="889"/>
      <c r="D241" s="889"/>
      <c r="E241" s="889"/>
      <c r="F241" s="889"/>
      <c r="G241" s="889"/>
      <c r="H241" s="889"/>
      <c r="I241" s="889"/>
    </row>
    <row r="242" spans="1:9" x14ac:dyDescent="0.3">
      <c r="A242" s="889"/>
      <c r="B242" s="889"/>
      <c r="C242" s="889"/>
      <c r="D242" s="889"/>
      <c r="E242" s="889"/>
      <c r="F242" s="889"/>
      <c r="G242" s="889"/>
      <c r="H242" s="889"/>
      <c r="I242" s="889"/>
    </row>
    <row r="243" spans="1:9" x14ac:dyDescent="0.3">
      <c r="A243" s="889"/>
      <c r="B243" s="889"/>
      <c r="C243" s="889"/>
      <c r="D243" s="889"/>
      <c r="E243" s="889"/>
      <c r="F243" s="889"/>
      <c r="G243" s="889"/>
      <c r="H243" s="889"/>
      <c r="I243" s="889"/>
    </row>
    <row r="244" spans="1:9" x14ac:dyDescent="0.3">
      <c r="A244" s="889"/>
      <c r="B244" s="889"/>
      <c r="C244" s="889"/>
      <c r="D244" s="889"/>
      <c r="E244" s="889"/>
      <c r="F244" s="889"/>
      <c r="G244" s="889"/>
      <c r="H244" s="889"/>
      <c r="I244" s="889"/>
    </row>
    <row r="245" spans="1:9" x14ac:dyDescent="0.3">
      <c r="A245" s="889"/>
      <c r="B245" s="889"/>
      <c r="C245" s="889"/>
      <c r="D245" s="889"/>
      <c r="E245" s="889"/>
      <c r="F245" s="889"/>
      <c r="G245" s="889"/>
      <c r="H245" s="889"/>
      <c r="I245" s="889"/>
    </row>
    <row r="246" spans="1:9" x14ac:dyDescent="0.3">
      <c r="A246" s="889"/>
      <c r="B246" s="889"/>
      <c r="C246" s="889"/>
      <c r="D246" s="889"/>
      <c r="E246" s="889"/>
      <c r="F246" s="889"/>
      <c r="G246" s="889"/>
      <c r="H246" s="889"/>
      <c r="I246" s="889"/>
    </row>
    <row r="247" spans="1:9" x14ac:dyDescent="0.3">
      <c r="A247" s="889"/>
      <c r="B247" s="889"/>
      <c r="C247" s="889"/>
      <c r="D247" s="889"/>
      <c r="E247" s="889"/>
      <c r="F247" s="889"/>
      <c r="G247" s="889"/>
      <c r="H247" s="889"/>
      <c r="I247" s="889"/>
    </row>
    <row r="248" spans="1:9" x14ac:dyDescent="0.3">
      <c r="A248" s="889"/>
      <c r="B248" s="889"/>
      <c r="C248" s="889"/>
      <c r="D248" s="889"/>
      <c r="E248" s="889"/>
      <c r="F248" s="889"/>
      <c r="G248" s="889"/>
      <c r="H248" s="889"/>
      <c r="I248" s="889"/>
    </row>
    <row r="249" spans="1:9" x14ac:dyDescent="0.3">
      <c r="A249" s="889"/>
      <c r="B249" s="889"/>
      <c r="C249" s="889"/>
      <c r="D249" s="889"/>
      <c r="E249" s="889"/>
      <c r="F249" s="889"/>
      <c r="G249" s="889"/>
      <c r="H249" s="889"/>
      <c r="I249" s="889"/>
    </row>
    <row r="250" spans="1:9" x14ac:dyDescent="0.3">
      <c r="A250" s="889"/>
      <c r="B250" s="889"/>
      <c r="C250" s="889"/>
      <c r="D250" s="889"/>
      <c r="E250" s="889"/>
      <c r="F250" s="889"/>
      <c r="G250" s="889"/>
      <c r="H250" s="889"/>
      <c r="I250" s="889"/>
    </row>
    <row r="251" spans="1:9" x14ac:dyDescent="0.3">
      <c r="A251" s="889"/>
      <c r="B251" s="889"/>
      <c r="C251" s="889"/>
      <c r="D251" s="889"/>
      <c r="E251" s="889"/>
      <c r="F251" s="889"/>
      <c r="G251" s="889"/>
      <c r="H251" s="889"/>
      <c r="I251" s="889"/>
    </row>
    <row r="252" spans="1:9" x14ac:dyDescent="0.3">
      <c r="A252" s="889"/>
      <c r="B252" s="889"/>
      <c r="C252" s="889"/>
      <c r="D252" s="889"/>
      <c r="E252" s="889"/>
      <c r="F252" s="889"/>
      <c r="G252" s="889"/>
      <c r="H252" s="889"/>
      <c r="I252" s="889"/>
    </row>
    <row r="253" spans="1:9" x14ac:dyDescent="0.3">
      <c r="A253" s="889"/>
      <c r="B253" s="889"/>
      <c r="C253" s="889"/>
      <c r="D253" s="889"/>
      <c r="E253" s="889"/>
      <c r="F253" s="889"/>
      <c r="G253" s="889"/>
      <c r="H253" s="889"/>
      <c r="I253" s="889"/>
    </row>
    <row r="254" spans="1:9" x14ac:dyDescent="0.3">
      <c r="A254" s="889"/>
      <c r="B254" s="889"/>
      <c r="C254" s="889"/>
      <c r="D254" s="889"/>
      <c r="E254" s="889"/>
      <c r="F254" s="889"/>
      <c r="G254" s="889"/>
      <c r="H254" s="889"/>
      <c r="I254" s="889"/>
    </row>
    <row r="255" spans="1:9" x14ac:dyDescent="0.3">
      <c r="A255" s="889"/>
      <c r="B255" s="889"/>
      <c r="C255" s="889"/>
      <c r="D255" s="889"/>
      <c r="E255" s="889"/>
      <c r="F255" s="889"/>
      <c r="G255" s="889"/>
      <c r="H255" s="889"/>
      <c r="I255" s="889"/>
    </row>
    <row r="256" spans="1:9" x14ac:dyDescent="0.3">
      <c r="A256" s="889"/>
      <c r="B256" s="889"/>
      <c r="C256" s="889"/>
      <c r="D256" s="889"/>
      <c r="E256" s="889"/>
      <c r="F256" s="889"/>
      <c r="G256" s="889"/>
      <c r="H256" s="889"/>
      <c r="I256" s="889"/>
    </row>
    <row r="257" spans="1:9" x14ac:dyDescent="0.3">
      <c r="A257" s="889"/>
      <c r="B257" s="889"/>
      <c r="C257" s="889"/>
      <c r="D257" s="889"/>
      <c r="E257" s="889"/>
      <c r="F257" s="889"/>
      <c r="G257" s="889"/>
      <c r="H257" s="889"/>
      <c r="I257" s="889"/>
    </row>
    <row r="258" spans="1:9" x14ac:dyDescent="0.3">
      <c r="A258" s="889"/>
      <c r="B258" s="889"/>
      <c r="C258" s="889"/>
      <c r="D258" s="889"/>
      <c r="E258" s="889"/>
      <c r="F258" s="889"/>
      <c r="G258" s="889"/>
      <c r="H258" s="889"/>
      <c r="I258" s="889"/>
    </row>
    <row r="259" spans="1:9" x14ac:dyDescent="0.3">
      <c r="A259" s="889"/>
      <c r="B259" s="889"/>
      <c r="C259" s="889"/>
      <c r="D259" s="889"/>
      <c r="E259" s="889"/>
      <c r="F259" s="889"/>
      <c r="G259" s="889"/>
      <c r="H259" s="889"/>
      <c r="I259" s="889"/>
    </row>
    <row r="260" spans="1:9" x14ac:dyDescent="0.3">
      <c r="A260" s="889"/>
      <c r="B260" s="889"/>
      <c r="C260" s="889"/>
      <c r="D260" s="889"/>
      <c r="E260" s="889"/>
      <c r="F260" s="889"/>
      <c r="G260" s="889"/>
      <c r="H260" s="889"/>
      <c r="I260" s="889"/>
    </row>
    <row r="261" spans="1:9" x14ac:dyDescent="0.3">
      <c r="A261" s="889"/>
      <c r="B261" s="889"/>
      <c r="C261" s="889"/>
      <c r="D261" s="889"/>
      <c r="E261" s="889"/>
      <c r="F261" s="889"/>
      <c r="G261" s="889"/>
      <c r="H261" s="889"/>
      <c r="I261" s="889"/>
    </row>
    <row r="262" spans="1:9" x14ac:dyDescent="0.3">
      <c r="A262" s="889"/>
      <c r="B262" s="889"/>
      <c r="C262" s="889"/>
      <c r="D262" s="889"/>
      <c r="E262" s="889"/>
      <c r="F262" s="889"/>
      <c r="G262" s="889"/>
      <c r="H262" s="889"/>
      <c r="I262" s="889"/>
    </row>
    <row r="263" spans="1:9" x14ac:dyDescent="0.3">
      <c r="A263" s="889"/>
      <c r="B263" s="889"/>
      <c r="C263" s="889"/>
      <c r="D263" s="889"/>
      <c r="E263" s="889"/>
      <c r="F263" s="889"/>
      <c r="G263" s="889"/>
      <c r="H263" s="889"/>
      <c r="I263" s="889"/>
    </row>
    <row r="264" spans="1:9" x14ac:dyDescent="0.3">
      <c r="A264" s="889"/>
      <c r="B264" s="889"/>
      <c r="C264" s="889"/>
      <c r="D264" s="889"/>
      <c r="E264" s="889"/>
      <c r="F264" s="889"/>
      <c r="G264" s="889"/>
      <c r="H264" s="889"/>
      <c r="I264" s="889"/>
    </row>
    <row r="265" spans="1:9" x14ac:dyDescent="0.3">
      <c r="A265" s="889"/>
      <c r="B265" s="889"/>
      <c r="C265" s="889"/>
      <c r="D265" s="889"/>
      <c r="E265" s="889"/>
      <c r="F265" s="889"/>
      <c r="G265" s="889"/>
      <c r="H265" s="889"/>
      <c r="I265" s="889"/>
    </row>
    <row r="266" spans="1:9" x14ac:dyDescent="0.3">
      <c r="A266" s="889"/>
      <c r="B266" s="889"/>
      <c r="C266" s="889"/>
      <c r="D266" s="889"/>
      <c r="E266" s="889"/>
      <c r="F266" s="889"/>
      <c r="G266" s="889"/>
      <c r="H266" s="889"/>
      <c r="I266" s="889"/>
    </row>
    <row r="267" spans="1:9" x14ac:dyDescent="0.3">
      <c r="A267" s="889"/>
      <c r="B267" s="889"/>
      <c r="C267" s="889"/>
      <c r="D267" s="889"/>
      <c r="E267" s="889"/>
      <c r="F267" s="889"/>
      <c r="G267" s="889"/>
      <c r="H267" s="889"/>
      <c r="I267" s="889"/>
    </row>
    <row r="268" spans="1:9" x14ac:dyDescent="0.3">
      <c r="A268" s="889"/>
      <c r="B268" s="889"/>
      <c r="C268" s="889"/>
      <c r="D268" s="889"/>
      <c r="E268" s="889"/>
      <c r="F268" s="889"/>
      <c r="G268" s="889"/>
      <c r="H268" s="889"/>
      <c r="I268" s="889"/>
    </row>
    <row r="269" spans="1:9" x14ac:dyDescent="0.3">
      <c r="A269" s="889"/>
      <c r="B269" s="889"/>
      <c r="C269" s="889"/>
      <c r="D269" s="889"/>
      <c r="E269" s="889"/>
      <c r="F269" s="889"/>
      <c r="G269" s="889"/>
      <c r="H269" s="889"/>
      <c r="I269" s="889"/>
    </row>
    <row r="270" spans="1:9" x14ac:dyDescent="0.3">
      <c r="A270" s="889"/>
      <c r="B270" s="889"/>
      <c r="C270" s="889"/>
      <c r="D270" s="889"/>
      <c r="E270" s="889"/>
      <c r="F270" s="889"/>
      <c r="G270" s="889"/>
      <c r="H270" s="889"/>
      <c r="I270" s="889"/>
    </row>
    <row r="271" spans="1:9" x14ac:dyDescent="0.3">
      <c r="A271" s="889"/>
      <c r="B271" s="889"/>
      <c r="C271" s="889"/>
      <c r="D271" s="889"/>
      <c r="E271" s="889"/>
      <c r="F271" s="889"/>
      <c r="G271" s="889"/>
      <c r="H271" s="889"/>
      <c r="I271" s="889"/>
    </row>
    <row r="272" spans="1:9" x14ac:dyDescent="0.3">
      <c r="A272" s="889"/>
      <c r="B272" s="889"/>
      <c r="C272" s="889"/>
      <c r="D272" s="889"/>
      <c r="E272" s="889"/>
      <c r="F272" s="889"/>
      <c r="G272" s="889"/>
      <c r="H272" s="889"/>
      <c r="I272" s="889"/>
    </row>
    <row r="273" spans="1:9" x14ac:dyDescent="0.3">
      <c r="A273" s="889"/>
      <c r="B273" s="889"/>
      <c r="C273" s="889"/>
      <c r="D273" s="889"/>
      <c r="E273" s="889"/>
      <c r="F273" s="889"/>
      <c r="G273" s="889"/>
      <c r="H273" s="889"/>
      <c r="I273" s="889"/>
    </row>
    <row r="274" spans="1:9" x14ac:dyDescent="0.3">
      <c r="A274" s="889"/>
      <c r="B274" s="889"/>
      <c r="C274" s="889"/>
      <c r="D274" s="889"/>
      <c r="E274" s="889"/>
      <c r="F274" s="889"/>
      <c r="G274" s="889"/>
      <c r="H274" s="889"/>
      <c r="I274" s="889"/>
    </row>
    <row r="275" spans="1:9" x14ac:dyDescent="0.3">
      <c r="A275" s="889"/>
      <c r="B275" s="889"/>
      <c r="C275" s="889"/>
      <c r="D275" s="889"/>
      <c r="E275" s="889"/>
      <c r="F275" s="889"/>
      <c r="G275" s="889"/>
      <c r="H275" s="889"/>
      <c r="I275" s="889"/>
    </row>
    <row r="276" spans="1:9" x14ac:dyDescent="0.3">
      <c r="A276" s="889"/>
      <c r="B276" s="889"/>
      <c r="C276" s="889"/>
      <c r="D276" s="889"/>
      <c r="E276" s="889"/>
      <c r="F276" s="889"/>
      <c r="G276" s="889"/>
      <c r="H276" s="889"/>
      <c r="I276" s="889"/>
    </row>
    <row r="277" spans="1:9" x14ac:dyDescent="0.3">
      <c r="A277" s="889"/>
      <c r="B277" s="889"/>
      <c r="C277" s="889"/>
      <c r="D277" s="889"/>
      <c r="E277" s="889"/>
      <c r="F277" s="889"/>
      <c r="G277" s="889"/>
      <c r="H277" s="889"/>
      <c r="I277" s="889"/>
    </row>
    <row r="278" spans="1:9" x14ac:dyDescent="0.3">
      <c r="A278" s="889"/>
      <c r="B278" s="889"/>
      <c r="C278" s="889"/>
      <c r="D278" s="889"/>
      <c r="E278" s="889"/>
      <c r="F278" s="889"/>
      <c r="G278" s="889"/>
      <c r="H278" s="889"/>
      <c r="I278" s="889"/>
    </row>
    <row r="279" spans="1:9" x14ac:dyDescent="0.3">
      <c r="A279" s="889"/>
      <c r="B279" s="889"/>
      <c r="C279" s="889"/>
      <c r="D279" s="889"/>
      <c r="E279" s="889"/>
      <c r="F279" s="889"/>
      <c r="G279" s="889"/>
      <c r="H279" s="889"/>
      <c r="I279" s="889"/>
    </row>
  </sheetData>
  <hyperlinks>
    <hyperlink ref="B4" location="SU_A0900" display="SU_A0900"/>
    <hyperlink ref="F2" location="SU_A0900_BOM" display="Back to BOM"/>
  </hyperlinks>
  <pageMargins left="0.70866141732283472" right="0.70866141732283472" top="0.74803149606299213" bottom="0.74803149606299213" header="0.31496062992125984" footer="0.31496062992125984"/>
  <pageSetup paperSize="9" scale="61" fitToHeight="99" orientation="landscape" r:id="rId1"/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40"/>
      <c r="B1" s="938"/>
      <c r="C1" s="938"/>
      <c r="D1" s="938"/>
      <c r="E1" s="938"/>
      <c r="F1" s="938"/>
      <c r="G1" s="938"/>
      <c r="H1" s="938"/>
      <c r="I1" s="938"/>
      <c r="J1" s="939"/>
      <c r="K1" s="938"/>
      <c r="L1" s="938"/>
      <c r="M1" s="938"/>
      <c r="N1" s="938"/>
      <c r="O1" s="937"/>
    </row>
    <row r="2" spans="1:15" x14ac:dyDescent="0.3">
      <c r="A2" s="936" t="s">
        <v>0</v>
      </c>
      <c r="B2" s="16" t="s">
        <v>37</v>
      </c>
      <c r="C2" s="930"/>
      <c r="D2" s="930"/>
      <c r="E2" s="930"/>
      <c r="F2" s="88" t="s">
        <v>126</v>
      </c>
      <c r="G2" s="930"/>
      <c r="H2" s="930"/>
      <c r="I2" s="930"/>
      <c r="J2" s="909" t="s">
        <v>1</v>
      </c>
      <c r="K2" s="935">
        <v>81</v>
      </c>
      <c r="L2" s="930"/>
      <c r="M2" s="908" t="s">
        <v>16</v>
      </c>
      <c r="N2" s="933">
        <f>N12+I19</f>
        <v>1.6908095579918243</v>
      </c>
      <c r="O2" s="270"/>
    </row>
    <row r="3" spans="1:15" x14ac:dyDescent="0.3">
      <c r="A3" s="932" t="s">
        <v>3</v>
      </c>
      <c r="B3" s="16" t="s">
        <v>129</v>
      </c>
      <c r="C3" s="930"/>
      <c r="D3" s="908" t="s">
        <v>6</v>
      </c>
      <c r="E3" s="88" t="s">
        <v>86</v>
      </c>
      <c r="F3" s="930"/>
      <c r="G3" s="930"/>
      <c r="H3" s="930"/>
      <c r="I3" s="930"/>
      <c r="J3" s="930"/>
      <c r="K3" s="930"/>
      <c r="L3" s="930"/>
      <c r="M3" s="907" t="s">
        <v>4</v>
      </c>
      <c r="N3" s="934">
        <v>2</v>
      </c>
      <c r="O3" s="270"/>
    </row>
    <row r="4" spans="1:15" x14ac:dyDescent="0.3">
      <c r="A4" s="932" t="s">
        <v>5</v>
      </c>
      <c r="B4" s="88" t="str">
        <f>'SU A0900'!B4</f>
        <v>Front Pullrod</v>
      </c>
      <c r="C4" s="930"/>
      <c r="D4" s="907" t="s">
        <v>8</v>
      </c>
      <c r="E4" s="930"/>
      <c r="F4" s="930"/>
      <c r="G4" s="930"/>
      <c r="H4" s="930"/>
      <c r="I4" s="930"/>
      <c r="J4" s="908" t="s">
        <v>6</v>
      </c>
      <c r="K4" s="930"/>
      <c r="L4" s="930"/>
      <c r="M4" s="930"/>
      <c r="N4" s="930"/>
      <c r="O4" s="270"/>
    </row>
    <row r="5" spans="1:15" x14ac:dyDescent="0.3">
      <c r="A5" s="932" t="s">
        <v>15</v>
      </c>
      <c r="B5" s="747" t="s">
        <v>495</v>
      </c>
      <c r="C5" s="930"/>
      <c r="D5" s="907" t="s">
        <v>12</v>
      </c>
      <c r="E5" s="930"/>
      <c r="F5" s="930"/>
      <c r="G5" s="930"/>
      <c r="H5" s="930"/>
      <c r="I5" s="930"/>
      <c r="J5" s="907" t="s">
        <v>8</v>
      </c>
      <c r="K5" s="930"/>
      <c r="L5" s="930"/>
      <c r="M5" s="908" t="s">
        <v>9</v>
      </c>
      <c r="N5" s="933">
        <f>N3*N2</f>
        <v>3.3816191159836486</v>
      </c>
      <c r="O5" s="270"/>
    </row>
    <row r="6" spans="1:15" x14ac:dyDescent="0.3">
      <c r="A6" s="932" t="s">
        <v>7</v>
      </c>
      <c r="B6" t="s">
        <v>498</v>
      </c>
      <c r="C6" s="930"/>
      <c r="D6" s="930"/>
      <c r="E6" s="930"/>
      <c r="F6" s="930"/>
      <c r="G6" s="930"/>
      <c r="H6" s="930"/>
      <c r="I6" s="930"/>
      <c r="J6" s="907" t="s">
        <v>12</v>
      </c>
      <c r="K6" s="930"/>
      <c r="L6" s="930"/>
      <c r="M6" s="930"/>
      <c r="N6" s="930"/>
      <c r="O6" s="270"/>
    </row>
    <row r="7" spans="1:15" x14ac:dyDescent="0.3">
      <c r="A7" s="932" t="s">
        <v>10</v>
      </c>
      <c r="B7" s="16" t="s">
        <v>11</v>
      </c>
      <c r="C7" s="930"/>
      <c r="D7" s="930"/>
      <c r="E7" s="930"/>
      <c r="F7" s="930"/>
      <c r="G7" s="930"/>
      <c r="H7" s="930"/>
      <c r="I7" s="930"/>
      <c r="J7" s="930"/>
      <c r="K7" s="930"/>
      <c r="L7" s="930"/>
      <c r="M7" s="930"/>
      <c r="N7" s="930"/>
      <c r="O7" s="270"/>
    </row>
    <row r="8" spans="1:15" x14ac:dyDescent="0.3">
      <c r="A8" s="932" t="s">
        <v>13</v>
      </c>
      <c r="B8" s="16"/>
      <c r="C8" s="930"/>
      <c r="D8" s="930"/>
      <c r="E8" s="930"/>
      <c r="F8" s="930"/>
      <c r="G8" s="930"/>
      <c r="H8" s="930"/>
      <c r="I8" s="930"/>
      <c r="J8" s="930"/>
      <c r="K8" s="930"/>
      <c r="L8" s="930"/>
      <c r="M8" s="930"/>
      <c r="N8" s="930"/>
      <c r="O8" s="270"/>
    </row>
    <row r="9" spans="1:15" x14ac:dyDescent="0.3">
      <c r="A9" s="931"/>
      <c r="B9" s="930"/>
      <c r="C9" s="930"/>
      <c r="D9" s="930"/>
      <c r="E9" s="930"/>
      <c r="F9" s="930"/>
      <c r="G9" s="930"/>
      <c r="H9" s="930"/>
      <c r="I9" s="930"/>
      <c r="J9" s="930"/>
      <c r="K9" s="930"/>
      <c r="L9" s="930"/>
      <c r="M9" s="930"/>
      <c r="N9" s="930"/>
      <c r="O9" s="270"/>
    </row>
    <row r="10" spans="1:15" x14ac:dyDescent="0.3">
      <c r="A10" s="925" t="s">
        <v>14</v>
      </c>
      <c r="B10" s="897" t="s">
        <v>19</v>
      </c>
      <c r="C10" s="897" t="s">
        <v>20</v>
      </c>
      <c r="D10" s="897" t="s">
        <v>21</v>
      </c>
      <c r="E10" s="897" t="s">
        <v>22</v>
      </c>
      <c r="F10" s="897" t="s">
        <v>23</v>
      </c>
      <c r="G10" s="897" t="s">
        <v>24</v>
      </c>
      <c r="H10" s="897" t="s">
        <v>25</v>
      </c>
      <c r="I10" s="897" t="s">
        <v>26</v>
      </c>
      <c r="J10" s="897" t="s">
        <v>27</v>
      </c>
      <c r="K10" s="897" t="s">
        <v>28</v>
      </c>
      <c r="L10" s="897" t="s">
        <v>29</v>
      </c>
      <c r="M10" s="897" t="s">
        <v>17</v>
      </c>
      <c r="N10" s="897" t="s">
        <v>18</v>
      </c>
      <c r="O10" s="270"/>
    </row>
    <row r="11" spans="1:15" ht="16.2" customHeight="1" x14ac:dyDescent="0.3">
      <c r="A11" s="923">
        <v>10</v>
      </c>
      <c r="B11" s="313" t="s">
        <v>278</v>
      </c>
      <c r="C11" s="567" t="s">
        <v>490</v>
      </c>
      <c r="D11" s="299">
        <v>2.25</v>
      </c>
      <c r="E11" s="929">
        <f>J11*K11*L11</f>
        <v>6.9915359107477468E-2</v>
      </c>
      <c r="F11" s="929" t="s">
        <v>212</v>
      </c>
      <c r="G11" s="316"/>
      <c r="H11" s="317"/>
      <c r="I11" s="928" t="s">
        <v>489</v>
      </c>
      <c r="J11" s="978">
        <f>PI()*(9*10^-3)^2</f>
        <v>2.5446900494077327E-4</v>
      </c>
      <c r="K11" s="884">
        <v>3.5000000000000003E-2</v>
      </c>
      <c r="L11" s="885">
        <v>7850</v>
      </c>
      <c r="M11" s="927">
        <v>1</v>
      </c>
      <c r="N11" s="280">
        <f>D11*E11*M11</f>
        <v>0.15730955799182431</v>
      </c>
      <c r="O11" s="926"/>
    </row>
    <row r="12" spans="1:15" x14ac:dyDescent="0.3">
      <c r="A12" s="916"/>
      <c r="B12" s="915"/>
      <c r="C12" s="915"/>
      <c r="D12" s="915"/>
      <c r="E12" s="915"/>
      <c r="F12" s="915"/>
      <c r="G12" s="915"/>
      <c r="H12" s="915"/>
      <c r="I12" s="915"/>
      <c r="J12" s="915"/>
      <c r="K12" s="915"/>
      <c r="L12" s="915"/>
      <c r="M12" s="892" t="s">
        <v>18</v>
      </c>
      <c r="N12" s="898">
        <f>N11</f>
        <v>0.15730955799182431</v>
      </c>
      <c r="O12" s="270"/>
    </row>
    <row r="13" spans="1:15" x14ac:dyDescent="0.3">
      <c r="A13" s="925" t="s">
        <v>14</v>
      </c>
      <c r="B13" s="897" t="s">
        <v>31</v>
      </c>
      <c r="C13" s="897" t="s">
        <v>20</v>
      </c>
      <c r="D13" s="897" t="s">
        <v>21</v>
      </c>
      <c r="E13" s="897" t="s">
        <v>32</v>
      </c>
      <c r="F13" s="897" t="s">
        <v>17</v>
      </c>
      <c r="G13" s="897" t="s">
        <v>33</v>
      </c>
      <c r="H13" s="897" t="s">
        <v>34</v>
      </c>
      <c r="I13" s="897" t="s">
        <v>18</v>
      </c>
      <c r="J13" s="915"/>
      <c r="K13" s="915"/>
      <c r="L13" s="915"/>
      <c r="M13" s="915"/>
      <c r="N13" s="915"/>
      <c r="O13" s="270"/>
    </row>
    <row r="14" spans="1:15" ht="15" customHeight="1" x14ac:dyDescent="0.3">
      <c r="A14" s="920">
        <v>10</v>
      </c>
      <c r="B14" s="282" t="s">
        <v>39</v>
      </c>
      <c r="C14" s="921" t="s">
        <v>488</v>
      </c>
      <c r="D14" s="279">
        <v>1.3</v>
      </c>
      <c r="E14" s="282" t="s">
        <v>32</v>
      </c>
      <c r="F14" s="878">
        <v>1</v>
      </c>
      <c r="G14" s="924" t="s">
        <v>420</v>
      </c>
      <c r="H14" s="878">
        <v>0.25</v>
      </c>
      <c r="I14" s="224">
        <f>D14*F14*H14</f>
        <v>0.32500000000000001</v>
      </c>
      <c r="J14" s="526"/>
      <c r="K14" s="526"/>
      <c r="L14" s="526"/>
      <c r="M14" s="526"/>
      <c r="N14" s="526"/>
      <c r="O14" s="913"/>
    </row>
    <row r="15" spans="1:15" ht="13.2" customHeight="1" x14ac:dyDescent="0.3">
      <c r="A15" s="920">
        <v>20</v>
      </c>
      <c r="B15" s="282" t="s">
        <v>159</v>
      </c>
      <c r="C15" s="921" t="s">
        <v>487</v>
      </c>
      <c r="D15" s="279">
        <v>0.04</v>
      </c>
      <c r="E15" s="282" t="s">
        <v>161</v>
      </c>
      <c r="F15" s="878">
        <v>5.5</v>
      </c>
      <c r="G15" s="878" t="s">
        <v>413</v>
      </c>
      <c r="H15" s="878">
        <v>3</v>
      </c>
      <c r="I15" s="224">
        <f>D15*F15*H15</f>
        <v>0.66</v>
      </c>
      <c r="J15" s="526"/>
      <c r="K15" s="526"/>
      <c r="L15" s="526"/>
      <c r="M15" s="526"/>
      <c r="N15" s="526"/>
      <c r="O15" s="913"/>
    </row>
    <row r="16" spans="1:15" ht="14.4" customHeight="1" x14ac:dyDescent="0.3">
      <c r="A16" s="923">
        <v>30</v>
      </c>
      <c r="B16" s="880" t="s">
        <v>486</v>
      </c>
      <c r="C16" s="919" t="s">
        <v>485</v>
      </c>
      <c r="D16" s="279">
        <v>0.65</v>
      </c>
      <c r="E16" s="880" t="s">
        <v>32</v>
      </c>
      <c r="F16" s="918">
        <v>1</v>
      </c>
      <c r="G16" s="282" t="s">
        <v>420</v>
      </c>
      <c r="H16" s="878">
        <v>0.25</v>
      </c>
      <c r="I16" s="224">
        <f>D16*F16*H16</f>
        <v>0.16250000000000001</v>
      </c>
      <c r="J16" s="519"/>
      <c r="K16" s="519"/>
      <c r="L16" s="519"/>
      <c r="M16" s="519"/>
      <c r="N16" s="519"/>
      <c r="O16" s="922"/>
    </row>
    <row r="17" spans="1:15" ht="16.8" customHeight="1" x14ac:dyDescent="0.3">
      <c r="A17" s="920">
        <v>40</v>
      </c>
      <c r="B17" s="282" t="s">
        <v>159</v>
      </c>
      <c r="C17" s="921" t="s">
        <v>267</v>
      </c>
      <c r="D17" s="279">
        <v>0.04</v>
      </c>
      <c r="E17" s="282" t="s">
        <v>161</v>
      </c>
      <c r="F17" s="878">
        <v>0.3</v>
      </c>
      <c r="G17" s="878" t="s">
        <v>413</v>
      </c>
      <c r="H17" s="878">
        <v>3</v>
      </c>
      <c r="I17" s="224">
        <f>D17*F17*H17</f>
        <v>3.6000000000000004E-2</v>
      </c>
      <c r="J17" s="522"/>
      <c r="K17" s="522"/>
      <c r="L17" s="522"/>
      <c r="M17" s="522"/>
      <c r="N17" s="522"/>
      <c r="O17" s="913"/>
    </row>
    <row r="18" spans="1:15" ht="15" customHeight="1" x14ac:dyDescent="0.3">
      <c r="A18" s="920">
        <v>50</v>
      </c>
      <c r="B18" s="919" t="s">
        <v>484</v>
      </c>
      <c r="C18" s="919" t="s">
        <v>483</v>
      </c>
      <c r="D18" s="279">
        <v>0.35</v>
      </c>
      <c r="E18" s="880" t="s">
        <v>271</v>
      </c>
      <c r="F18" s="918">
        <v>1</v>
      </c>
      <c r="G18" s="738"/>
      <c r="H18" s="878">
        <v>1</v>
      </c>
      <c r="I18" s="224">
        <f>D18*F18*H18</f>
        <v>0.35</v>
      </c>
      <c r="J18" s="524"/>
      <c r="K18" s="524"/>
      <c r="L18" s="524"/>
      <c r="M18" s="524"/>
      <c r="N18" s="524"/>
      <c r="O18" s="917"/>
    </row>
    <row r="19" spans="1:15" x14ac:dyDescent="0.3">
      <c r="A19" s="916"/>
      <c r="B19" s="915"/>
      <c r="C19" s="915"/>
      <c r="D19" s="915"/>
      <c r="E19" s="915"/>
      <c r="F19" s="915"/>
      <c r="G19" s="915"/>
      <c r="H19" s="892" t="s">
        <v>18</v>
      </c>
      <c r="I19" s="891">
        <f>SUM(I14:I18)</f>
        <v>1.5335000000000001</v>
      </c>
      <c r="J19" s="915"/>
      <c r="K19" s="915"/>
      <c r="L19" s="915"/>
      <c r="M19" s="915"/>
      <c r="N19" s="915"/>
      <c r="O19" s="270"/>
    </row>
    <row r="20" spans="1:15" x14ac:dyDescent="0.3">
      <c r="A20" s="914"/>
      <c r="B20" s="522"/>
      <c r="C20" s="522"/>
      <c r="D20" s="522"/>
      <c r="E20" s="522"/>
      <c r="F20" s="522"/>
      <c r="G20" s="522"/>
      <c r="H20" s="522"/>
      <c r="I20" s="524"/>
      <c r="J20" s="522"/>
      <c r="K20" s="522"/>
      <c r="L20" s="522"/>
      <c r="M20" s="522"/>
      <c r="N20" s="522"/>
      <c r="O20" s="913"/>
    </row>
    <row r="21" spans="1:15" ht="15" thickBot="1" x14ac:dyDescent="0.35">
      <c r="A21" s="912"/>
      <c r="B21" s="911"/>
      <c r="C21" s="911"/>
      <c r="D21" s="911"/>
      <c r="E21" s="911"/>
      <c r="F21" s="911"/>
      <c r="G21" s="911"/>
      <c r="H21" s="911"/>
      <c r="I21" s="911"/>
      <c r="J21" s="911"/>
      <c r="K21" s="911"/>
      <c r="L21" s="911"/>
      <c r="M21" s="911"/>
      <c r="N21" s="911"/>
      <c r="O21" s="910"/>
    </row>
  </sheetData>
  <hyperlinks>
    <hyperlink ref="E3" location="dSU_09002" display="Drawing"/>
    <hyperlink ref="B4" location="SU_A0900" display="SU_A0900"/>
    <hyperlink ref="F2" location="SU_A0900_BOM" display="Back to BOM"/>
  </hyperlinks>
  <pageMargins left="0.70866141732283472" right="0.70866141732283472" top="0.74803149606299213" bottom="0.74803149606299213" header="0.31496062992125984" footer="0.31496062992125984"/>
  <pageSetup paperSize="9" scale="51" fitToHeight="99" orientation="landscape" r:id="rId1"/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502</v>
      </c>
    </row>
  </sheetData>
  <hyperlinks>
    <hyperlink ref="B1" location="SU_09002" display="SU_09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0.75842010136988647</v>
      </c>
      <c r="O2" s="62"/>
    </row>
    <row r="3" spans="1:16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1.5168402027397729</v>
      </c>
      <c r="O5" s="62"/>
    </row>
    <row r="6" spans="1:16" x14ac:dyDescent="0.3">
      <c r="A6" s="102" t="s">
        <v>7</v>
      </c>
      <c r="B6" t="s">
        <v>499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970">
        <v>10</v>
      </c>
      <c r="B11" s="676" t="s">
        <v>375</v>
      </c>
      <c r="C11" s="20" t="s">
        <v>492</v>
      </c>
      <c r="D11" s="283">
        <v>2.25</v>
      </c>
      <c r="E11" s="969">
        <f>L11*J11*K11</f>
        <v>2.5253378386616194E-2</v>
      </c>
      <c r="F11" s="20" t="s">
        <v>212</v>
      </c>
      <c r="G11" s="20"/>
      <c r="H11" s="284"/>
      <c r="I11" s="968" t="s">
        <v>491</v>
      </c>
      <c r="J11" s="979">
        <f>PI()*16*16/1000000</f>
        <v>8.0424771931898709E-4</v>
      </c>
      <c r="K11" s="979">
        <v>4.0000000000000001E-3</v>
      </c>
      <c r="L11" s="680">
        <v>7850</v>
      </c>
      <c r="M11" s="23">
        <v>1</v>
      </c>
      <c r="N11" s="283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6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896">
        <v>10</v>
      </c>
      <c r="B15" s="904" t="s">
        <v>418</v>
      </c>
      <c r="C15" s="904"/>
      <c r="D15" s="899">
        <v>1.3</v>
      </c>
      <c r="E15" s="904" t="s">
        <v>35</v>
      </c>
      <c r="F15" s="904">
        <v>1</v>
      </c>
      <c r="G15" s="904" t="s">
        <v>452</v>
      </c>
      <c r="H15" s="904">
        <f>1/2</f>
        <v>0.5</v>
      </c>
      <c r="I15" s="899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96">
        <v>20</v>
      </c>
      <c r="B16" s="904" t="s">
        <v>159</v>
      </c>
      <c r="C16" s="904"/>
      <c r="D16" s="899">
        <v>0.04</v>
      </c>
      <c r="E16" s="904" t="s">
        <v>161</v>
      </c>
      <c r="F16" s="904">
        <v>0.43</v>
      </c>
      <c r="G16" s="904" t="s">
        <v>413</v>
      </c>
      <c r="H16" s="904">
        <v>3</v>
      </c>
      <c r="I16" s="899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2"/>
      <c r="B22" s="942"/>
      <c r="C22" s="942"/>
      <c r="D22" s="942"/>
      <c r="E22" s="942"/>
      <c r="F22" s="942"/>
      <c r="G22" s="942"/>
      <c r="H22" s="942"/>
      <c r="I22" s="942"/>
      <c r="J22" s="942"/>
      <c r="K22" s="942"/>
      <c r="L22" s="942"/>
      <c r="M22" s="942"/>
      <c r="N22" s="942"/>
      <c r="O22" s="942"/>
      <c r="P22" s="942"/>
    </row>
    <row r="23" spans="1:16" x14ac:dyDescent="0.3">
      <c r="A23" s="942"/>
      <c r="B23" s="947"/>
      <c r="C23" s="943"/>
      <c r="D23" s="943"/>
      <c r="E23" s="943"/>
      <c r="F23" s="943"/>
      <c r="G23" s="963"/>
      <c r="H23" s="943"/>
      <c r="I23" s="943"/>
      <c r="J23" s="943"/>
      <c r="K23" s="966"/>
      <c r="L23" s="946"/>
      <c r="M23" s="943"/>
      <c r="N23" s="947"/>
      <c r="O23" s="954"/>
      <c r="P23" s="942"/>
    </row>
    <row r="24" spans="1:16" x14ac:dyDescent="0.3">
      <c r="A24" s="942"/>
      <c r="B24" s="947"/>
      <c r="C24" s="943"/>
      <c r="D24" s="965"/>
      <c r="E24" s="963"/>
      <c r="F24" s="943"/>
      <c r="G24" s="943"/>
      <c r="H24" s="943"/>
      <c r="I24" s="943"/>
      <c r="J24" s="943"/>
      <c r="K24" s="943"/>
      <c r="L24" s="943"/>
      <c r="M24" s="943"/>
      <c r="N24" s="947"/>
      <c r="O24" s="964"/>
      <c r="P24" s="942"/>
    </row>
    <row r="25" spans="1:16" x14ac:dyDescent="0.3">
      <c r="A25" s="942"/>
      <c r="B25" s="947"/>
      <c r="C25" s="963"/>
      <c r="D25" s="943"/>
      <c r="E25" s="947"/>
      <c r="F25" s="943"/>
      <c r="G25" s="943"/>
      <c r="H25" s="943"/>
      <c r="I25" s="943"/>
      <c r="J25" s="943"/>
      <c r="K25" s="947"/>
      <c r="L25" s="943"/>
      <c r="M25" s="943"/>
      <c r="N25" s="943"/>
      <c r="O25" s="944"/>
      <c r="P25" s="942"/>
    </row>
    <row r="26" spans="1:16" x14ac:dyDescent="0.3">
      <c r="A26" s="942"/>
      <c r="B26" s="947"/>
      <c r="C26" s="962"/>
      <c r="D26" s="943"/>
      <c r="E26" s="947"/>
      <c r="F26" s="943"/>
      <c r="G26" s="943"/>
      <c r="H26" s="943"/>
      <c r="I26" s="943"/>
      <c r="J26" s="943"/>
      <c r="K26" s="947"/>
      <c r="L26" s="943"/>
      <c r="M26" s="943"/>
      <c r="N26" s="947"/>
      <c r="O26" s="954"/>
      <c r="P26" s="942"/>
    </row>
    <row r="27" spans="1:16" x14ac:dyDescent="0.3">
      <c r="A27" s="942"/>
      <c r="B27" s="947"/>
      <c r="C27" s="961"/>
      <c r="D27" s="943"/>
      <c r="E27" s="943"/>
      <c r="F27" s="943"/>
      <c r="G27" s="943"/>
      <c r="H27" s="943"/>
      <c r="I27" s="943"/>
      <c r="J27" s="943"/>
      <c r="K27" s="947"/>
      <c r="L27" s="943"/>
      <c r="M27" s="943"/>
      <c r="N27" s="943"/>
      <c r="O27" s="943"/>
      <c r="P27" s="942"/>
    </row>
    <row r="28" spans="1:16" x14ac:dyDescent="0.3">
      <c r="A28" s="942"/>
      <c r="B28" s="947"/>
      <c r="C28" s="943"/>
      <c r="D28" s="943"/>
      <c r="E28" s="943"/>
      <c r="F28" s="943"/>
      <c r="G28" s="943"/>
      <c r="H28" s="943"/>
      <c r="I28" s="943"/>
      <c r="J28" s="943"/>
      <c r="K28" s="943"/>
      <c r="L28" s="943"/>
      <c r="M28" s="943"/>
      <c r="N28" s="943"/>
      <c r="O28" s="943"/>
      <c r="P28" s="942"/>
    </row>
    <row r="29" spans="1:16" x14ac:dyDescent="0.3">
      <c r="A29" s="942"/>
      <c r="B29" s="947"/>
      <c r="C29" s="944"/>
      <c r="D29" s="944"/>
      <c r="E29" s="944"/>
      <c r="F29" s="944"/>
      <c r="G29" s="944"/>
      <c r="H29" s="944"/>
      <c r="I29" s="944"/>
      <c r="J29" s="944"/>
      <c r="K29" s="944"/>
      <c r="L29" s="944"/>
      <c r="M29" s="944"/>
      <c r="N29" s="944"/>
      <c r="O29" s="944"/>
      <c r="P29" s="942"/>
    </row>
    <row r="30" spans="1:16" x14ac:dyDescent="0.3">
      <c r="A30" s="942"/>
      <c r="B30" s="942"/>
      <c r="C30" s="942"/>
      <c r="D30" s="942"/>
      <c r="E30" s="942"/>
      <c r="F30" s="942"/>
      <c r="G30" s="942"/>
      <c r="H30" s="942"/>
      <c r="I30" s="942"/>
      <c r="J30" s="942"/>
      <c r="K30" s="942"/>
      <c r="L30" s="942"/>
      <c r="M30" s="942"/>
      <c r="N30" s="942"/>
      <c r="O30" s="942"/>
      <c r="P30" s="942"/>
    </row>
    <row r="31" spans="1:16" x14ac:dyDescent="0.3">
      <c r="A31" s="942"/>
      <c r="B31" s="947"/>
      <c r="C31" s="947"/>
      <c r="D31" s="947"/>
      <c r="E31" s="947"/>
      <c r="F31" s="947"/>
      <c r="G31" s="947"/>
      <c r="H31" s="947"/>
      <c r="I31" s="947"/>
      <c r="J31" s="947"/>
      <c r="K31" s="947"/>
      <c r="L31" s="947"/>
      <c r="M31" s="947"/>
      <c r="N31" s="947"/>
      <c r="O31" s="947"/>
      <c r="P31" s="942"/>
    </row>
    <row r="32" spans="1:16" x14ac:dyDescent="0.3">
      <c r="A32" s="942"/>
      <c r="B32" s="943"/>
      <c r="C32" s="943"/>
      <c r="D32" s="943"/>
      <c r="E32" s="950"/>
      <c r="F32" s="960"/>
      <c r="G32" s="943"/>
      <c r="H32" s="943"/>
      <c r="I32" s="959"/>
      <c r="J32" s="958"/>
      <c r="K32" s="957"/>
      <c r="L32" s="956"/>
      <c r="M32" s="955"/>
      <c r="N32" s="955"/>
      <c r="O32" s="954"/>
      <c r="P32" s="942"/>
    </row>
    <row r="33" spans="1:16" x14ac:dyDescent="0.3">
      <c r="A33" s="942"/>
      <c r="B33" s="947"/>
      <c r="C33" s="947"/>
      <c r="D33" s="947"/>
      <c r="E33" s="947"/>
      <c r="F33" s="947"/>
      <c r="G33" s="947"/>
      <c r="H33" s="947"/>
      <c r="I33" s="947"/>
      <c r="J33" s="947"/>
      <c r="K33" s="947"/>
      <c r="L33" s="947"/>
      <c r="M33" s="947"/>
      <c r="N33" s="949"/>
      <c r="O33" s="948"/>
      <c r="P33" s="942"/>
    </row>
    <row r="34" spans="1:16" x14ac:dyDescent="0.3">
      <c r="A34" s="942"/>
      <c r="B34" s="942"/>
      <c r="C34" s="942"/>
      <c r="D34" s="942"/>
      <c r="E34" s="942"/>
      <c r="F34" s="942"/>
      <c r="G34" s="942"/>
      <c r="H34" s="942"/>
      <c r="I34" s="942"/>
      <c r="J34" s="942"/>
      <c r="K34" s="942"/>
      <c r="L34" s="942"/>
      <c r="M34" s="942"/>
      <c r="N34" s="942"/>
      <c r="O34" s="942"/>
      <c r="P34" s="942"/>
    </row>
    <row r="35" spans="1:16" x14ac:dyDescent="0.3">
      <c r="A35" s="942"/>
      <c r="B35" s="947"/>
      <c r="C35" s="947"/>
      <c r="D35" s="947"/>
      <c r="E35" s="947"/>
      <c r="F35" s="947"/>
      <c r="G35" s="947"/>
      <c r="H35" s="947"/>
      <c r="I35" s="947"/>
      <c r="J35" s="947"/>
      <c r="K35" s="947"/>
      <c r="L35" s="947"/>
      <c r="M35" s="947"/>
      <c r="N35" s="947"/>
      <c r="O35" s="947"/>
      <c r="P35" s="942"/>
    </row>
    <row r="36" spans="1:16" x14ac:dyDescent="0.3">
      <c r="A36" s="942"/>
      <c r="B36" s="943"/>
      <c r="C36" s="675"/>
      <c r="D36" s="953"/>
      <c r="E36" s="950"/>
      <c r="F36" s="943"/>
      <c r="G36" s="943"/>
      <c r="H36" s="951"/>
      <c r="I36" s="952"/>
      <c r="J36" s="950"/>
      <c r="K36" s="944"/>
      <c r="L36" s="944"/>
      <c r="M36" s="944"/>
      <c r="N36" s="944"/>
      <c r="O36" s="944"/>
      <c r="P36" s="942"/>
    </row>
    <row r="37" spans="1:16" x14ac:dyDescent="0.3">
      <c r="A37" s="942"/>
      <c r="B37" s="943"/>
      <c r="C37" s="675"/>
      <c r="D37" s="953"/>
      <c r="E37" s="950"/>
      <c r="F37" s="943"/>
      <c r="G37" s="952"/>
      <c r="H37" s="951"/>
      <c r="I37" s="943"/>
      <c r="J37" s="950"/>
      <c r="K37" s="944"/>
      <c r="L37" s="944"/>
      <c r="M37" s="944"/>
      <c r="N37" s="944"/>
      <c r="O37" s="944"/>
      <c r="P37" s="942"/>
    </row>
    <row r="38" spans="1:16" x14ac:dyDescent="0.3">
      <c r="A38" s="942"/>
      <c r="B38" s="947"/>
      <c r="C38" s="947"/>
      <c r="D38" s="947"/>
      <c r="E38" s="947"/>
      <c r="F38" s="947"/>
      <c r="G38" s="947"/>
      <c r="H38" s="947"/>
      <c r="I38" s="949"/>
      <c r="J38" s="948"/>
      <c r="K38" s="947"/>
      <c r="L38" s="947"/>
      <c r="M38" s="947"/>
      <c r="N38" s="947"/>
      <c r="O38" s="947"/>
      <c r="P38" s="942"/>
    </row>
    <row r="39" spans="1:16" x14ac:dyDescent="0.3">
      <c r="A39" s="942"/>
      <c r="B39" s="944"/>
      <c r="C39" s="944"/>
      <c r="D39" s="944"/>
      <c r="E39" s="944"/>
      <c r="F39" s="944"/>
      <c r="G39" s="944"/>
      <c r="H39" s="944"/>
      <c r="I39" s="946"/>
      <c r="J39" s="945"/>
      <c r="K39" s="944"/>
      <c r="L39" s="943"/>
      <c r="M39" s="943"/>
      <c r="N39" s="943"/>
      <c r="O39" s="943"/>
      <c r="P39" s="942"/>
    </row>
    <row r="40" spans="1:16" x14ac:dyDescent="0.3">
      <c r="B40" s="941"/>
      <c r="C40" s="941"/>
      <c r="D40" s="941"/>
      <c r="E40" s="941"/>
      <c r="F40" s="941"/>
      <c r="G40" s="941"/>
      <c r="H40" s="941"/>
      <c r="I40" s="941"/>
      <c r="J40" s="941"/>
      <c r="K40" s="941"/>
      <c r="L40" s="941"/>
      <c r="M40" s="941"/>
      <c r="N40" s="941"/>
      <c r="O40" s="941"/>
    </row>
  </sheetData>
  <hyperlinks>
    <hyperlink ref="E3" location="dSU_09003" display="Drawing"/>
    <hyperlink ref="B4" location="SU_A0900" display="SU_A0900"/>
    <hyperlink ref="G2" location="SU_A0900_BOM" display="Back to BOM"/>
  </hyperlinks>
  <pageMargins left="0.70866141732283472" right="0.70866141732283472" top="0.74803149606299213" bottom="0.74803149606299213" header="0.31496062992125984" footer="0.31496062992125984"/>
  <pageSetup paperSize="9" scale="54" fitToHeight="99" orientation="landscape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503</v>
      </c>
    </row>
  </sheetData>
  <hyperlinks>
    <hyperlink ref="B1" location="SU_09003" display="SU_09003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0.85844020273977284</v>
      </c>
      <c r="O2" s="62"/>
    </row>
    <row r="3" spans="1:15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2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1.7168804054795457</v>
      </c>
      <c r="O5" s="62"/>
    </row>
    <row r="6" spans="1:15" x14ac:dyDescent="0.3">
      <c r="A6" s="102" t="s">
        <v>7</v>
      </c>
      <c r="B6" t="s">
        <v>500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9.4" customHeight="1" x14ac:dyDescent="0.3">
      <c r="A11" s="980">
        <v>10</v>
      </c>
      <c r="B11" s="981" t="s">
        <v>375</v>
      </c>
      <c r="C11" s="982" t="s">
        <v>492</v>
      </c>
      <c r="D11" s="32">
        <v>2.25</v>
      </c>
      <c r="E11" s="983">
        <f>L11*J11*K11</f>
        <v>5.0506756773232388E-2</v>
      </c>
      <c r="F11" s="982" t="s">
        <v>212</v>
      </c>
      <c r="G11" s="982"/>
      <c r="H11" s="984"/>
      <c r="I11" s="985" t="s">
        <v>491</v>
      </c>
      <c r="J11" s="979">
        <f>PI()*16*16/1000000</f>
        <v>8.0424771931898709E-4</v>
      </c>
      <c r="K11" s="999">
        <v>8.0000000000000002E-3</v>
      </c>
      <c r="L11" s="994">
        <v>7850</v>
      </c>
      <c r="M11" s="995">
        <v>1</v>
      </c>
      <c r="N11" s="32">
        <f>IF(J11="",D11*M11,D11*J11*K11*L11*M11)</f>
        <v>0.11364020273977288</v>
      </c>
      <c r="O11" s="66"/>
    </row>
    <row r="12" spans="1:15" x14ac:dyDescent="0.3">
      <c r="A12" s="986"/>
      <c r="B12" s="987"/>
      <c r="C12" s="987"/>
      <c r="D12" s="987"/>
      <c r="E12" s="987"/>
      <c r="F12" s="987"/>
      <c r="G12" s="987"/>
      <c r="H12" s="987"/>
      <c r="I12" s="987"/>
      <c r="J12" s="987"/>
      <c r="K12" s="987"/>
      <c r="L12" s="987"/>
      <c r="M12" s="996" t="s">
        <v>18</v>
      </c>
      <c r="N12" s="997">
        <f>SUM(N11:N11)</f>
        <v>0.11364020273977288</v>
      </c>
      <c r="O12" s="62"/>
    </row>
    <row r="13" spans="1:15" x14ac:dyDescent="0.3">
      <c r="A13" s="988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89" t="s">
        <v>14</v>
      </c>
      <c r="B14" s="990" t="s">
        <v>31</v>
      </c>
      <c r="C14" s="990" t="s">
        <v>20</v>
      </c>
      <c r="D14" s="990" t="s">
        <v>21</v>
      </c>
      <c r="E14" s="990" t="s">
        <v>32</v>
      </c>
      <c r="F14" s="990" t="s">
        <v>17</v>
      </c>
      <c r="G14" s="990" t="s">
        <v>33</v>
      </c>
      <c r="H14" s="990" t="s">
        <v>34</v>
      </c>
      <c r="I14" s="990" t="s">
        <v>18</v>
      </c>
      <c r="J14" s="987"/>
      <c r="K14" s="987"/>
      <c r="L14" s="987"/>
      <c r="M14" s="987"/>
      <c r="N14" s="987"/>
      <c r="O14" s="62"/>
    </row>
    <row r="15" spans="1:15" ht="28.8" x14ac:dyDescent="0.3">
      <c r="A15" s="991">
        <v>10</v>
      </c>
      <c r="B15" s="992" t="s">
        <v>418</v>
      </c>
      <c r="C15" s="992"/>
      <c r="D15" s="993">
        <v>1.3</v>
      </c>
      <c r="E15" s="992" t="s">
        <v>35</v>
      </c>
      <c r="F15" s="992">
        <v>1</v>
      </c>
      <c r="G15" s="992" t="s">
        <v>452</v>
      </c>
      <c r="H15" s="992">
        <f>1/2</f>
        <v>0.5</v>
      </c>
      <c r="I15" s="993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91">
        <v>20</v>
      </c>
      <c r="B16" s="992" t="s">
        <v>159</v>
      </c>
      <c r="C16" s="992"/>
      <c r="D16" s="993">
        <v>0.04</v>
      </c>
      <c r="E16" s="992" t="s">
        <v>161</v>
      </c>
      <c r="F16" s="992">
        <v>0.79</v>
      </c>
      <c r="G16" s="992" t="s">
        <v>413</v>
      </c>
      <c r="H16" s="992">
        <v>3</v>
      </c>
      <c r="I16" s="993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86"/>
      <c r="B17" s="987"/>
      <c r="C17" s="987"/>
      <c r="D17" s="987"/>
      <c r="E17" s="987"/>
      <c r="F17" s="987"/>
      <c r="G17" s="987"/>
      <c r="H17" s="998" t="s">
        <v>18</v>
      </c>
      <c r="I17" s="997">
        <f>SUM(I15:I16)</f>
        <v>0.74480000000000002</v>
      </c>
      <c r="J17" s="987"/>
      <c r="K17" s="987"/>
      <c r="L17" s="987"/>
      <c r="M17" s="987"/>
      <c r="N17" s="987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ageMargins left="0.70866141732283472" right="0.70866141732283472" top="0.74803149606299213" bottom="0.74803149606299213" header="0.31496062992125984" footer="0.31496062992125984"/>
  <pageSetup paperSize="9" scale="72" fitToHeight="99" orientation="landscape" r:id="rId1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504</v>
      </c>
    </row>
  </sheetData>
  <hyperlinks>
    <hyperlink ref="B1" location="SU_09004" display="SU_09004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view="pageLayout" zoomScale="70" zoomScaleNormal="10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2"/>
      <c r="N1" s="275"/>
      <c r="O1" s="56"/>
    </row>
    <row r="2" spans="1:15" x14ac:dyDescent="0.3">
      <c r="A2" s="1044" t="s">
        <v>0</v>
      </c>
      <c r="B2" s="16" t="s">
        <v>37</v>
      </c>
      <c r="C2" s="56"/>
      <c r="D2" s="56"/>
      <c r="E2" s="88" t="s">
        <v>126</v>
      </c>
      <c r="F2" s="56"/>
      <c r="G2" s="56"/>
      <c r="H2" s="1000" t="s">
        <v>1</v>
      </c>
      <c r="I2" s="83">
        <v>81</v>
      </c>
      <c r="J2" s="56"/>
      <c r="K2" s="1000" t="s">
        <v>2</v>
      </c>
      <c r="L2" s="95">
        <f>SU_A1000_pa+SU_A1000_p+SU_A1000_f</f>
        <v>147.70868052825119</v>
      </c>
      <c r="M2" s="270"/>
      <c r="O2" s="56"/>
    </row>
    <row r="3" spans="1:15" x14ac:dyDescent="0.3">
      <c r="A3" s="1044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1000" t="s">
        <v>4</v>
      </c>
      <c r="L3" s="82">
        <v>2</v>
      </c>
      <c r="M3" s="270"/>
      <c r="O3" s="56"/>
    </row>
    <row r="4" spans="1:15" x14ac:dyDescent="0.3">
      <c r="A4" s="1044" t="s">
        <v>5</v>
      </c>
      <c r="B4" s="57" t="s">
        <v>506</v>
      </c>
      <c r="C4" s="56"/>
      <c r="D4" s="56"/>
      <c r="E4" s="56"/>
      <c r="F4" s="56"/>
      <c r="G4" s="56"/>
      <c r="H4" s="1001" t="s">
        <v>6</v>
      </c>
      <c r="I4" s="56"/>
      <c r="J4" s="56"/>
      <c r="K4" s="56"/>
      <c r="L4" s="56"/>
      <c r="M4" s="270"/>
      <c r="O4" s="56"/>
    </row>
    <row r="5" spans="1:15" x14ac:dyDescent="0.3">
      <c r="A5" s="1044" t="s">
        <v>7</v>
      </c>
      <c r="B5" s="18" t="s">
        <v>507</v>
      </c>
      <c r="C5" s="56"/>
      <c r="D5" s="56"/>
      <c r="E5" s="56"/>
      <c r="F5" s="56"/>
      <c r="G5" s="56"/>
      <c r="H5" s="1001" t="s">
        <v>8</v>
      </c>
      <c r="I5" s="56"/>
      <c r="J5" s="56"/>
      <c r="K5" s="1000" t="s">
        <v>9</v>
      </c>
      <c r="L5" s="74">
        <f>L2*L3</f>
        <v>295.41736105650239</v>
      </c>
      <c r="M5" s="270"/>
      <c r="O5" s="56"/>
    </row>
    <row r="6" spans="1:15" x14ac:dyDescent="0.3">
      <c r="A6" s="1044" t="s">
        <v>10</v>
      </c>
      <c r="B6" s="16" t="s">
        <v>11</v>
      </c>
      <c r="C6" s="56"/>
      <c r="D6" s="56"/>
      <c r="E6" s="56"/>
      <c r="F6" s="56"/>
      <c r="G6" s="56"/>
      <c r="H6" s="1001" t="s">
        <v>12</v>
      </c>
      <c r="I6" s="56"/>
      <c r="J6" s="56"/>
      <c r="K6" s="56"/>
      <c r="L6" s="56"/>
      <c r="M6" s="270"/>
      <c r="O6" s="56"/>
    </row>
    <row r="7" spans="1:15" x14ac:dyDescent="0.3">
      <c r="A7" s="1044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70"/>
      <c r="N7" s="56"/>
      <c r="O7" s="56"/>
    </row>
    <row r="8" spans="1:15" x14ac:dyDescent="0.3">
      <c r="A8" s="716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70"/>
      <c r="N8" s="56"/>
      <c r="O8" s="56"/>
    </row>
    <row r="9" spans="1:15" x14ac:dyDescent="0.3">
      <c r="A9" s="1044" t="s">
        <v>14</v>
      </c>
      <c r="B9" s="1000" t="s">
        <v>15</v>
      </c>
      <c r="C9" s="1000" t="s">
        <v>16</v>
      </c>
      <c r="D9" s="1000" t="s">
        <v>17</v>
      </c>
      <c r="E9" s="1000" t="s">
        <v>18</v>
      </c>
      <c r="F9" s="56"/>
      <c r="G9" s="56"/>
      <c r="H9" s="56"/>
      <c r="I9" s="56"/>
      <c r="J9" s="56"/>
      <c r="K9" s="56"/>
      <c r="L9" s="56"/>
      <c r="M9" s="270"/>
      <c r="N9" s="56"/>
      <c r="O9" s="56"/>
    </row>
    <row r="10" spans="1:15" x14ac:dyDescent="0.3">
      <c r="A10" s="725">
        <v>10</v>
      </c>
      <c r="B10" s="86" t="str">
        <f>'SU 10001'!B5</f>
        <v>Front Upright</v>
      </c>
      <c r="C10" s="74">
        <f>'SU 10001'!N2</f>
        <v>99.563970000000012</v>
      </c>
      <c r="D10" s="1002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70"/>
      <c r="N10" s="56"/>
      <c r="O10" s="56"/>
    </row>
    <row r="11" spans="1:15" x14ac:dyDescent="0.3">
      <c r="A11" s="725">
        <v>20</v>
      </c>
      <c r="B11" s="1003" t="s">
        <v>509</v>
      </c>
      <c r="C11" s="74">
        <f>'SU 10002'!N2</f>
        <v>2.5052785600000003</v>
      </c>
      <c r="D11" s="1002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34"/>
      <c r="N11" s="57"/>
      <c r="O11" s="56"/>
    </row>
    <row r="12" spans="1:15" x14ac:dyDescent="0.3">
      <c r="A12" s="725">
        <v>30</v>
      </c>
      <c r="B12" s="88" t="s">
        <v>510</v>
      </c>
      <c r="C12" s="74">
        <f>'SU 10003'!N2</f>
        <v>18.677843750000001</v>
      </c>
      <c r="D12" s="1002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34"/>
      <c r="N12" s="57"/>
      <c r="O12" s="1048"/>
    </row>
    <row r="13" spans="1:15" s="17" customFormat="1" x14ac:dyDescent="0.3">
      <c r="A13" s="725">
        <v>40</v>
      </c>
      <c r="B13" s="86" t="s">
        <v>511</v>
      </c>
      <c r="C13" s="74">
        <f>'SU 10004'!N2</f>
        <v>0.83572750000000007</v>
      </c>
      <c r="D13" s="1002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34"/>
      <c r="N13" s="57"/>
      <c r="O13" s="1048"/>
    </row>
    <row r="14" spans="1:15" s="17" customFormat="1" x14ac:dyDescent="0.3">
      <c r="A14" s="725">
        <v>50</v>
      </c>
      <c r="B14" s="86" t="s">
        <v>512</v>
      </c>
      <c r="C14" s="74">
        <f>'SU 10005'!N2</f>
        <v>0.42691833333333334</v>
      </c>
      <c r="D14" s="1002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34"/>
      <c r="N14" s="57"/>
      <c r="O14" s="57"/>
    </row>
    <row r="15" spans="1:15" x14ac:dyDescent="0.3">
      <c r="A15" s="716"/>
      <c r="B15" s="56"/>
      <c r="C15" s="56"/>
      <c r="D15" s="101" t="s">
        <v>18</v>
      </c>
      <c r="E15" s="1004">
        <f>SUM(E10:E14)</f>
        <v>127.98659481</v>
      </c>
      <c r="F15" s="57"/>
      <c r="G15" s="57"/>
      <c r="H15" s="57"/>
      <c r="I15" s="57"/>
      <c r="J15" s="57"/>
      <c r="K15" s="57"/>
      <c r="L15" s="57"/>
      <c r="M15" s="734"/>
      <c r="N15" s="57"/>
      <c r="O15" s="56"/>
    </row>
    <row r="16" spans="1:15" x14ac:dyDescent="0.3">
      <c r="A16" s="716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70"/>
      <c r="N16" s="56"/>
      <c r="O16" s="56"/>
    </row>
    <row r="17" spans="1:19" x14ac:dyDescent="0.3">
      <c r="A17" s="716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70"/>
      <c r="N17" s="56"/>
      <c r="O17" s="56"/>
    </row>
    <row r="18" spans="1:19" x14ac:dyDescent="0.3">
      <c r="A18" s="1044" t="s">
        <v>14</v>
      </c>
      <c r="B18" s="1000" t="s">
        <v>31</v>
      </c>
      <c r="C18" s="1000" t="s">
        <v>20</v>
      </c>
      <c r="D18" s="1000" t="s">
        <v>21</v>
      </c>
      <c r="E18" s="1000" t="s">
        <v>32</v>
      </c>
      <c r="F18" s="1000" t="s">
        <v>17</v>
      </c>
      <c r="G18" s="1000" t="s">
        <v>33</v>
      </c>
      <c r="H18" s="1000" t="s">
        <v>34</v>
      </c>
      <c r="I18" s="1000" t="s">
        <v>18</v>
      </c>
      <c r="J18" s="24"/>
      <c r="K18" s="24"/>
      <c r="L18" s="24"/>
      <c r="M18" s="1049"/>
      <c r="N18" s="24"/>
      <c r="O18" s="58"/>
    </row>
    <row r="19" spans="1:19" s="22" customFormat="1" x14ac:dyDescent="0.3">
      <c r="A19" s="1045">
        <v>10</v>
      </c>
      <c r="B19" s="667" t="s">
        <v>513</v>
      </c>
      <c r="C19" s="667" t="s">
        <v>514</v>
      </c>
      <c r="D19" s="1006">
        <v>0.56000000000000005</v>
      </c>
      <c r="E19" s="1007" t="s">
        <v>35</v>
      </c>
      <c r="F19" s="1007">
        <v>1</v>
      </c>
      <c r="G19" s="1007"/>
      <c r="H19" s="1007">
        <v>1</v>
      </c>
      <c r="I19" s="74">
        <f t="shared" ref="I19:I22" si="0">IF(H19="",D19*F19,D19*F19*H19)</f>
        <v>0.56000000000000005</v>
      </c>
      <c r="J19" s="56"/>
      <c r="K19" s="56"/>
      <c r="L19" s="56"/>
      <c r="M19" s="270"/>
      <c r="N19" s="56"/>
      <c r="O19" s="56"/>
    </row>
    <row r="20" spans="1:19" x14ac:dyDescent="0.3">
      <c r="A20" s="1040">
        <v>20</v>
      </c>
      <c r="B20" s="1019" t="s">
        <v>515</v>
      </c>
      <c r="C20" s="1019" t="s">
        <v>516</v>
      </c>
      <c r="D20" s="1020">
        <v>0.13</v>
      </c>
      <c r="E20" s="1018" t="s">
        <v>35</v>
      </c>
      <c r="F20" s="1018">
        <v>1</v>
      </c>
      <c r="G20" s="1018"/>
      <c r="H20" s="1018">
        <v>1</v>
      </c>
      <c r="I20" s="1021">
        <f t="shared" si="0"/>
        <v>0.13</v>
      </c>
      <c r="J20" s="56"/>
      <c r="K20" s="56"/>
      <c r="L20" s="56"/>
      <c r="M20" s="270"/>
      <c r="N20" s="56"/>
      <c r="O20" s="56"/>
    </row>
    <row r="21" spans="1:19" x14ac:dyDescent="0.3">
      <c r="A21" s="1040">
        <v>30</v>
      </c>
      <c r="B21" s="1019" t="s">
        <v>515</v>
      </c>
      <c r="C21" s="1019" t="s">
        <v>517</v>
      </c>
      <c r="D21" s="1020">
        <v>0.13</v>
      </c>
      <c r="E21" s="1018" t="s">
        <v>35</v>
      </c>
      <c r="F21" s="1018">
        <v>1</v>
      </c>
      <c r="G21" s="1018"/>
      <c r="H21" s="1018">
        <v>1</v>
      </c>
      <c r="I21" s="1021">
        <f t="shared" si="0"/>
        <v>0.13</v>
      </c>
      <c r="J21" s="56"/>
      <c r="K21" s="56"/>
      <c r="L21" s="56"/>
      <c r="M21" s="270"/>
      <c r="N21" s="56"/>
      <c r="O21" s="56"/>
    </row>
    <row r="22" spans="1:19" x14ac:dyDescent="0.3">
      <c r="A22" s="1040">
        <v>40</v>
      </c>
      <c r="B22" s="1019" t="s">
        <v>515</v>
      </c>
      <c r="C22" s="1019" t="s">
        <v>518</v>
      </c>
      <c r="D22" s="1020">
        <v>0.13</v>
      </c>
      <c r="E22" s="1018" t="s">
        <v>35</v>
      </c>
      <c r="F22" s="1018">
        <v>1</v>
      </c>
      <c r="G22" s="1018"/>
      <c r="H22" s="1018">
        <v>1</v>
      </c>
      <c r="I22" s="1021">
        <f t="shared" si="0"/>
        <v>0.13</v>
      </c>
      <c r="J22" s="57"/>
      <c r="K22" s="57"/>
      <c r="L22" s="57"/>
      <c r="M22" s="734"/>
      <c r="N22" s="57"/>
      <c r="O22" s="57"/>
    </row>
    <row r="23" spans="1:19" s="25" customFormat="1" ht="14.4" customHeight="1" x14ac:dyDescent="0.3">
      <c r="A23" s="1046">
        <v>50</v>
      </c>
      <c r="B23" s="1019" t="s">
        <v>366</v>
      </c>
      <c r="C23" s="1019" t="s">
        <v>519</v>
      </c>
      <c r="D23" s="1020">
        <v>0.75</v>
      </c>
      <c r="E23" s="1018" t="s">
        <v>35</v>
      </c>
      <c r="F23" s="1018">
        <v>3</v>
      </c>
      <c r="G23" s="1018"/>
      <c r="H23" s="1018">
        <v>1</v>
      </c>
      <c r="I23" s="1021">
        <f>IF(H23="",D23*F23,D23*F23*H23)</f>
        <v>2.25</v>
      </c>
      <c r="J23" s="57"/>
      <c r="K23" s="57"/>
      <c r="L23" s="57"/>
      <c r="M23" s="734"/>
      <c r="N23" s="57"/>
      <c r="O23" s="58"/>
    </row>
    <row r="24" spans="1:19" ht="16.2" customHeight="1" x14ac:dyDescent="0.3">
      <c r="A24" s="1040">
        <v>60</v>
      </c>
      <c r="B24" s="657" t="s">
        <v>520</v>
      </c>
      <c r="C24" s="1019" t="s">
        <v>519</v>
      </c>
      <c r="D24" s="1025">
        <v>0.25</v>
      </c>
      <c r="E24" s="1022" t="s">
        <v>32</v>
      </c>
      <c r="F24" s="1022">
        <v>3</v>
      </c>
      <c r="G24" s="1018"/>
      <c r="H24" s="1018">
        <v>1</v>
      </c>
      <c r="I24" s="1021">
        <f>IF(H24="",D24*F24,D24*F24*H24)</f>
        <v>0.75</v>
      </c>
      <c r="J24" s="57"/>
      <c r="K24" s="57"/>
      <c r="L24" s="57"/>
      <c r="M24" s="734"/>
      <c r="N24" s="57"/>
      <c r="O24" s="58"/>
    </row>
    <row r="25" spans="1:19" x14ac:dyDescent="0.3">
      <c r="A25" s="1040">
        <v>70</v>
      </c>
      <c r="B25" s="1019" t="s">
        <v>515</v>
      </c>
      <c r="C25" s="1019" t="s">
        <v>521</v>
      </c>
      <c r="D25" s="1020">
        <v>0.13</v>
      </c>
      <c r="E25" s="1018" t="s">
        <v>522</v>
      </c>
      <c r="F25" s="1018">
        <v>1</v>
      </c>
      <c r="G25" s="1018"/>
      <c r="H25" s="1018">
        <v>1</v>
      </c>
      <c r="I25" s="1021">
        <f>IF(H25="",D25*F25,D25*F25*H25)</f>
        <v>0.13</v>
      </c>
      <c r="J25" s="57"/>
      <c r="K25" s="57"/>
      <c r="L25" s="57"/>
      <c r="M25" s="734"/>
      <c r="N25" s="57"/>
      <c r="O25" s="57"/>
    </row>
    <row r="26" spans="1:19" x14ac:dyDescent="0.3">
      <c r="A26" s="1046">
        <v>80</v>
      </c>
      <c r="B26" s="1019" t="s">
        <v>523</v>
      </c>
      <c r="C26" s="1019" t="s">
        <v>524</v>
      </c>
      <c r="D26" s="1023">
        <v>0.63</v>
      </c>
      <c r="E26" s="1018" t="s">
        <v>35</v>
      </c>
      <c r="F26" s="1018">
        <v>1</v>
      </c>
      <c r="G26" s="1018"/>
      <c r="H26" s="1018">
        <v>1</v>
      </c>
      <c r="I26" s="1021">
        <f>IF(H26="",D26*F26,D26*F26*H26)</f>
        <v>0.63</v>
      </c>
      <c r="J26" s="56"/>
      <c r="K26" s="56"/>
      <c r="L26" s="56"/>
      <c r="M26" s="270"/>
      <c r="N26" s="56"/>
      <c r="O26" s="56"/>
    </row>
    <row r="27" spans="1:19" s="17" customFormat="1" x14ac:dyDescent="0.3">
      <c r="A27" s="1040">
        <v>90</v>
      </c>
      <c r="B27" s="1019" t="s">
        <v>366</v>
      </c>
      <c r="C27" s="1019" t="s">
        <v>525</v>
      </c>
      <c r="D27" s="1020">
        <v>0.75</v>
      </c>
      <c r="E27" s="1018" t="s">
        <v>32</v>
      </c>
      <c r="F27" s="1018">
        <v>2</v>
      </c>
      <c r="G27" s="1018"/>
      <c r="H27" s="1018">
        <v>1</v>
      </c>
      <c r="I27" s="1020">
        <f t="shared" ref="I27" si="1">D27*F27*H27</f>
        <v>1.5</v>
      </c>
      <c r="J27" s="643"/>
      <c r="K27" s="643"/>
      <c r="L27" s="643"/>
      <c r="M27" s="1047"/>
      <c r="N27" s="643"/>
      <c r="O27" s="643"/>
      <c r="P27" s="643"/>
      <c r="Q27" s="643"/>
      <c r="R27" s="643"/>
      <c r="S27" s="643"/>
    </row>
    <row r="28" spans="1:19" s="25" customFormat="1" x14ac:dyDescent="0.3">
      <c r="A28" s="1040">
        <v>100</v>
      </c>
      <c r="B28" s="1019" t="s">
        <v>520</v>
      </c>
      <c r="C28" s="1019" t="s">
        <v>525</v>
      </c>
      <c r="D28" s="1020">
        <v>0.25</v>
      </c>
      <c r="E28" s="1018" t="s">
        <v>32</v>
      </c>
      <c r="F28" s="1018">
        <v>2</v>
      </c>
      <c r="G28" s="1018"/>
      <c r="H28" s="1018">
        <v>1</v>
      </c>
      <c r="I28" s="1020">
        <f>D28*F28*H28</f>
        <v>0.5</v>
      </c>
      <c r="J28" s="643"/>
      <c r="K28" s="643"/>
      <c r="L28" s="643"/>
      <c r="M28" s="1047"/>
      <c r="N28" s="643"/>
      <c r="O28" s="643"/>
      <c r="P28" s="643"/>
      <c r="Q28" s="643"/>
      <c r="R28" s="643"/>
      <c r="S28" s="643"/>
    </row>
    <row r="29" spans="1:19" s="17" customFormat="1" ht="28.8" x14ac:dyDescent="0.3">
      <c r="A29" s="1040">
        <v>110</v>
      </c>
      <c r="B29" s="282" t="s">
        <v>526</v>
      </c>
      <c r="C29" s="1018" t="s">
        <v>527</v>
      </c>
      <c r="D29" s="1024">
        <v>8.75</v>
      </c>
      <c r="E29" s="1018" t="s">
        <v>32</v>
      </c>
      <c r="F29" s="1018">
        <v>1</v>
      </c>
      <c r="G29" s="1018"/>
      <c r="H29" s="1018">
        <v>1</v>
      </c>
      <c r="I29" s="1024">
        <f>D29*F29*H29</f>
        <v>8.75</v>
      </c>
      <c r="J29" s="643"/>
      <c r="K29" s="643"/>
      <c r="L29" s="643"/>
      <c r="M29" s="1047"/>
      <c r="N29" s="643"/>
      <c r="O29" s="643"/>
      <c r="P29" s="643"/>
      <c r="Q29" s="643"/>
      <c r="R29" s="643"/>
      <c r="S29" s="643"/>
    </row>
    <row r="30" spans="1:19" x14ac:dyDescent="0.3">
      <c r="A30" s="730"/>
      <c r="B30" s="24"/>
      <c r="C30" s="24"/>
      <c r="D30" s="24"/>
      <c r="E30" s="24"/>
      <c r="F30" s="24"/>
      <c r="G30" s="24"/>
      <c r="H30" s="101" t="s">
        <v>18</v>
      </c>
      <c r="I30" s="1004">
        <f>SUM(I19:I29)</f>
        <v>15.46</v>
      </c>
      <c r="J30" s="56"/>
      <c r="K30" s="56"/>
      <c r="L30" s="56"/>
      <c r="M30" s="270"/>
      <c r="N30" s="56"/>
      <c r="O30" s="56"/>
      <c r="P30" s="17"/>
      <c r="Q30" s="17"/>
      <c r="R30" s="17"/>
      <c r="S30" s="17"/>
    </row>
    <row r="31" spans="1:19" x14ac:dyDescent="0.3">
      <c r="A31" s="716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70"/>
      <c r="N31" s="56"/>
      <c r="O31" s="56"/>
      <c r="P31" s="25"/>
      <c r="Q31" s="25"/>
      <c r="R31" s="25"/>
      <c r="S31" s="25"/>
    </row>
    <row r="32" spans="1:19" x14ac:dyDescent="0.3">
      <c r="A32" s="1044" t="s">
        <v>14</v>
      </c>
      <c r="B32" s="1000" t="s">
        <v>36</v>
      </c>
      <c r="C32" s="1000" t="s">
        <v>20</v>
      </c>
      <c r="D32" s="1000" t="s">
        <v>21</v>
      </c>
      <c r="E32" s="1000" t="s">
        <v>22</v>
      </c>
      <c r="F32" s="1000" t="s">
        <v>23</v>
      </c>
      <c r="G32" s="1000" t="s">
        <v>24</v>
      </c>
      <c r="H32" s="1000" t="s">
        <v>25</v>
      </c>
      <c r="I32" s="1000" t="s">
        <v>17</v>
      </c>
      <c r="J32" s="1000" t="s">
        <v>18</v>
      </c>
      <c r="K32" s="56"/>
      <c r="L32" s="56"/>
      <c r="M32" s="270"/>
      <c r="N32" s="56"/>
      <c r="O32" s="56"/>
      <c r="P32" s="17"/>
      <c r="Q32" s="17"/>
      <c r="R32" s="17"/>
      <c r="S32" s="17"/>
    </row>
    <row r="33" spans="1:16" x14ac:dyDescent="0.3">
      <c r="A33" s="1040">
        <v>10</v>
      </c>
      <c r="B33" s="777" t="s">
        <v>528</v>
      </c>
      <c r="C33" s="1018" t="s">
        <v>529</v>
      </c>
      <c r="D33" s="1020">
        <f>1.25/105154*E33^2*G33*SQRT(G33)+(0.005*EXP(0.319*E33))</f>
        <v>1.0655214295627982</v>
      </c>
      <c r="E33" s="1018">
        <v>12</v>
      </c>
      <c r="F33" s="1026" t="s">
        <v>30</v>
      </c>
      <c r="G33" s="1018">
        <v>62</v>
      </c>
      <c r="H33" s="1019" t="s">
        <v>30</v>
      </c>
      <c r="I33" s="1027">
        <v>4</v>
      </c>
      <c r="J33" s="1020">
        <f>D33*I33</f>
        <v>4.2620857182511926</v>
      </c>
      <c r="K33" s="56"/>
      <c r="L33" s="56"/>
      <c r="M33" s="270"/>
      <c r="N33" s="56"/>
      <c r="O33" s="56"/>
    </row>
    <row r="34" spans="1:16" x14ac:dyDescent="0.3">
      <c r="A34" s="730"/>
      <c r="B34" s="24"/>
      <c r="C34" s="24"/>
      <c r="D34" s="24"/>
      <c r="E34" s="24"/>
      <c r="F34" s="24"/>
      <c r="G34" s="24"/>
      <c r="H34" s="24"/>
      <c r="I34" s="101" t="s">
        <v>18</v>
      </c>
      <c r="J34" s="1004">
        <f>SUM(J33:J33)</f>
        <v>4.2620857182511926</v>
      </c>
      <c r="K34" s="56"/>
      <c r="L34" s="56"/>
      <c r="M34" s="270"/>
      <c r="N34" s="56"/>
      <c r="O34" s="56"/>
    </row>
    <row r="35" spans="1:16" x14ac:dyDescent="0.3">
      <c r="A35" s="716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70"/>
      <c r="N35" s="56"/>
      <c r="O35" s="56"/>
    </row>
    <row r="36" spans="1:16" ht="15" thickBot="1" x14ac:dyDescent="0.35">
      <c r="A36" s="290"/>
      <c r="B36" s="291"/>
      <c r="C36" s="291"/>
      <c r="D36" s="291"/>
      <c r="E36" s="291"/>
      <c r="F36" s="291"/>
      <c r="G36" s="291"/>
      <c r="H36" s="291"/>
      <c r="I36" s="291"/>
      <c r="J36" s="291"/>
      <c r="K36" s="291"/>
      <c r="L36" s="291"/>
      <c r="M36" s="292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72" firstPageNumber="0" fitToHeight="99" orientation="landscape"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view="pageLayout" zoomScale="70" zoomScaleNormal="10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30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N12+I29</f>
        <v>99.563970000000012</v>
      </c>
      <c r="O2" s="270"/>
    </row>
    <row r="3" spans="1:15" x14ac:dyDescent="0.3">
      <c r="A3" s="1030" t="s">
        <v>3</v>
      </c>
      <c r="B3" s="16" t="str">
        <f>'SU A1000'!B3</f>
        <v>Wheels &amp; Tires</v>
      </c>
      <c r="C3" s="56"/>
      <c r="D3" s="1008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270"/>
    </row>
    <row r="4" spans="1:15" x14ac:dyDescent="0.3">
      <c r="A4" s="1030" t="s">
        <v>5</v>
      </c>
      <c r="B4" s="277" t="str">
        <f>'SU A1000'!B4</f>
        <v>Front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270"/>
    </row>
    <row r="5" spans="1:15" x14ac:dyDescent="0.3">
      <c r="A5" s="1030" t="s">
        <v>15</v>
      </c>
      <c r="B5" s="18" t="s">
        <v>530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99.563970000000012</v>
      </c>
      <c r="O5" s="270"/>
    </row>
    <row r="6" spans="1:15" x14ac:dyDescent="0.3">
      <c r="A6" s="1030" t="s">
        <v>7</v>
      </c>
      <c r="B6" s="28" t="s">
        <v>531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270"/>
    </row>
    <row r="7" spans="1:15" x14ac:dyDescent="0.3">
      <c r="A7" s="1030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1030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1031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1032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270"/>
    </row>
    <row r="11" spans="1:15" s="22" customFormat="1" ht="28.8" x14ac:dyDescent="0.3">
      <c r="A11" s="1036">
        <v>10</v>
      </c>
      <c r="B11" s="981" t="s">
        <v>533</v>
      </c>
      <c r="C11" s="982"/>
      <c r="D11" s="32">
        <v>4.2</v>
      </c>
      <c r="E11" s="1037">
        <f>J11*K11*L11</f>
        <v>6.1528499999999999</v>
      </c>
      <c r="F11" s="982" t="s">
        <v>212</v>
      </c>
      <c r="G11" s="982"/>
      <c r="H11" s="984"/>
      <c r="I11" s="841" t="s">
        <v>534</v>
      </c>
      <c r="J11" s="999">
        <f>(165*275*10^-6)</f>
        <v>4.5374999999999999E-2</v>
      </c>
      <c r="K11" s="999">
        <v>0.05</v>
      </c>
      <c r="L11" s="994">
        <v>2712</v>
      </c>
      <c r="M11" s="995">
        <v>1</v>
      </c>
      <c r="N11" s="32">
        <f>D11*E11</f>
        <v>25.84197</v>
      </c>
      <c r="O11" s="729"/>
    </row>
    <row r="12" spans="1:15" x14ac:dyDescent="0.3">
      <c r="A12" s="730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25.84197</v>
      </c>
      <c r="O12" s="270"/>
    </row>
    <row r="13" spans="1:15" x14ac:dyDescent="0.3">
      <c r="A13" s="71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0"/>
    </row>
    <row r="14" spans="1:15" x14ac:dyDescent="0.3">
      <c r="A14" s="1034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270"/>
    </row>
    <row r="15" spans="1:15" s="25" customFormat="1" ht="28.8" x14ac:dyDescent="0.3">
      <c r="A15" s="1040">
        <v>10</v>
      </c>
      <c r="B15" s="1019" t="s">
        <v>535</v>
      </c>
      <c r="C15" s="1019" t="s">
        <v>536</v>
      </c>
      <c r="D15" s="1041">
        <v>1.3</v>
      </c>
      <c r="E15" s="1018" t="s">
        <v>32</v>
      </c>
      <c r="F15" s="1018">
        <v>1</v>
      </c>
      <c r="G15" s="1018"/>
      <c r="H15" s="1018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31"/>
    </row>
    <row r="16" spans="1:15" x14ac:dyDescent="0.3">
      <c r="A16" s="1040">
        <v>20</v>
      </c>
      <c r="B16" s="1019" t="s">
        <v>159</v>
      </c>
      <c r="C16" s="1019" t="s">
        <v>537</v>
      </c>
      <c r="D16" s="1041">
        <v>0.04</v>
      </c>
      <c r="E16" s="1018" t="s">
        <v>161</v>
      </c>
      <c r="F16" s="1018">
        <v>1268</v>
      </c>
      <c r="G16" s="1018" t="s">
        <v>264</v>
      </c>
      <c r="H16" s="1018">
        <v>1</v>
      </c>
      <c r="I16" s="32">
        <f t="shared" si="0"/>
        <v>50.72</v>
      </c>
      <c r="J16" s="56"/>
      <c r="K16" s="56"/>
      <c r="L16" s="56"/>
      <c r="M16" s="56"/>
      <c r="N16" s="56"/>
      <c r="O16" s="270"/>
    </row>
    <row r="17" spans="1:15" s="17" customFormat="1" x14ac:dyDescent="0.3">
      <c r="A17" s="1040">
        <v>30</v>
      </c>
      <c r="B17" s="1019" t="s">
        <v>158</v>
      </c>
      <c r="C17" s="1019" t="s">
        <v>538</v>
      </c>
      <c r="D17" s="1041">
        <v>0.65</v>
      </c>
      <c r="E17" s="1018" t="s">
        <v>32</v>
      </c>
      <c r="F17" s="1018">
        <v>1</v>
      </c>
      <c r="G17" s="1018"/>
      <c r="H17" s="1018">
        <v>1</v>
      </c>
      <c r="I17" s="32">
        <f t="shared" si="0"/>
        <v>0.65</v>
      </c>
      <c r="J17" s="57"/>
      <c r="K17" s="57"/>
      <c r="L17" s="57"/>
      <c r="M17" s="57"/>
      <c r="N17" s="57"/>
      <c r="O17" s="734"/>
    </row>
    <row r="18" spans="1:15" s="17" customFormat="1" ht="28.8" x14ac:dyDescent="0.3">
      <c r="A18" s="1040">
        <v>40</v>
      </c>
      <c r="B18" s="1019" t="s">
        <v>159</v>
      </c>
      <c r="C18" s="1019" t="s">
        <v>539</v>
      </c>
      <c r="D18" s="1041">
        <v>0.04</v>
      </c>
      <c r="E18" s="1018" t="s">
        <v>161</v>
      </c>
      <c r="F18" s="1018">
        <v>352.2</v>
      </c>
      <c r="G18" s="1018" t="s">
        <v>264</v>
      </c>
      <c r="H18" s="1018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34"/>
    </row>
    <row r="19" spans="1:15" s="17" customFormat="1" x14ac:dyDescent="0.3">
      <c r="A19" s="1040">
        <v>50</v>
      </c>
      <c r="B19" s="1019" t="s">
        <v>158</v>
      </c>
      <c r="C19" s="1019"/>
      <c r="D19" s="1041">
        <v>0.65</v>
      </c>
      <c r="E19" s="1018" t="s">
        <v>32</v>
      </c>
      <c r="F19" s="1018">
        <v>1</v>
      </c>
      <c r="G19" s="1018"/>
      <c r="H19" s="1018">
        <v>1</v>
      </c>
      <c r="I19" s="32">
        <f t="shared" si="0"/>
        <v>0.65</v>
      </c>
      <c r="J19" s="57"/>
      <c r="K19" s="57"/>
      <c r="L19" s="57"/>
      <c r="M19" s="57"/>
      <c r="N19" s="57"/>
      <c r="O19" s="734"/>
    </row>
    <row r="20" spans="1:15" s="17" customFormat="1" ht="43.2" x14ac:dyDescent="0.3">
      <c r="A20" s="1040">
        <v>60</v>
      </c>
      <c r="B20" s="1019" t="s">
        <v>159</v>
      </c>
      <c r="C20" s="1019" t="s">
        <v>540</v>
      </c>
      <c r="D20" s="1041">
        <v>0.04</v>
      </c>
      <c r="E20" s="1018" t="s">
        <v>161</v>
      </c>
      <c r="F20" s="1018">
        <v>72.2</v>
      </c>
      <c r="G20" s="1018" t="s">
        <v>264</v>
      </c>
      <c r="H20" s="1018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34"/>
    </row>
    <row r="21" spans="1:15" s="17" customFormat="1" x14ac:dyDescent="0.3">
      <c r="A21" s="1040">
        <v>70</v>
      </c>
      <c r="B21" s="1019" t="s">
        <v>158</v>
      </c>
      <c r="C21" s="1019"/>
      <c r="D21" s="1041">
        <v>0.65</v>
      </c>
      <c r="E21" s="1018" t="s">
        <v>32</v>
      </c>
      <c r="F21" s="1018">
        <v>1</v>
      </c>
      <c r="G21" s="1018"/>
      <c r="H21" s="1018">
        <v>1</v>
      </c>
      <c r="I21" s="32">
        <f t="shared" si="0"/>
        <v>0.65</v>
      </c>
      <c r="J21" s="57"/>
      <c r="K21" s="57"/>
      <c r="L21" s="57"/>
      <c r="M21" s="57"/>
      <c r="N21" s="57"/>
      <c r="O21" s="734"/>
    </row>
    <row r="22" spans="1:15" x14ac:dyDescent="0.3">
      <c r="A22" s="1040">
        <v>80</v>
      </c>
      <c r="B22" s="1019" t="s">
        <v>159</v>
      </c>
      <c r="C22" s="1019" t="s">
        <v>541</v>
      </c>
      <c r="D22" s="1041">
        <v>0.04</v>
      </c>
      <c r="E22" s="1018" t="s">
        <v>161</v>
      </c>
      <c r="F22" s="1018">
        <v>1.1000000000000001</v>
      </c>
      <c r="G22" s="1018" t="s">
        <v>264</v>
      </c>
      <c r="H22" s="1018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70"/>
    </row>
    <row r="23" spans="1:15" x14ac:dyDescent="0.3">
      <c r="A23" s="1040">
        <v>90</v>
      </c>
      <c r="B23" s="1019" t="s">
        <v>158</v>
      </c>
      <c r="C23" s="1019"/>
      <c r="D23" s="1041">
        <v>0.65</v>
      </c>
      <c r="E23" s="1018" t="s">
        <v>32</v>
      </c>
      <c r="F23" s="1018">
        <v>1</v>
      </c>
      <c r="G23" s="1018"/>
      <c r="H23" s="1018">
        <v>1</v>
      </c>
      <c r="I23" s="32">
        <f t="shared" si="0"/>
        <v>0.65</v>
      </c>
      <c r="J23" s="56"/>
      <c r="K23" s="56"/>
      <c r="L23" s="56"/>
      <c r="M23" s="56"/>
      <c r="N23" s="56"/>
      <c r="O23" s="270"/>
    </row>
    <row r="24" spans="1:15" x14ac:dyDescent="0.3">
      <c r="A24" s="1040">
        <v>100</v>
      </c>
      <c r="B24" s="1019" t="s">
        <v>159</v>
      </c>
      <c r="C24" s="1019" t="s">
        <v>542</v>
      </c>
      <c r="D24" s="1041">
        <v>0.04</v>
      </c>
      <c r="E24" s="1018" t="s">
        <v>161</v>
      </c>
      <c r="F24" s="1018">
        <v>18.2</v>
      </c>
      <c r="G24" s="1018" t="s">
        <v>264</v>
      </c>
      <c r="H24" s="1018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70"/>
    </row>
    <row r="25" spans="1:15" x14ac:dyDescent="0.3">
      <c r="A25" s="1040">
        <v>110</v>
      </c>
      <c r="B25" s="1019" t="s">
        <v>158</v>
      </c>
      <c r="C25" s="1019"/>
      <c r="D25" s="1041">
        <v>0.65</v>
      </c>
      <c r="E25" s="1018" t="s">
        <v>32</v>
      </c>
      <c r="F25" s="1018">
        <v>1</v>
      </c>
      <c r="G25" s="1018"/>
      <c r="H25" s="1018">
        <v>1</v>
      </c>
      <c r="I25" s="32">
        <f t="shared" si="0"/>
        <v>0.65</v>
      </c>
      <c r="J25" s="56"/>
      <c r="K25" s="56"/>
      <c r="L25" s="56"/>
      <c r="M25" s="56"/>
      <c r="N25" s="56"/>
      <c r="O25" s="270"/>
    </row>
    <row r="26" spans="1:15" x14ac:dyDescent="0.3">
      <c r="A26" s="1040">
        <v>120</v>
      </c>
      <c r="B26" s="1019" t="s">
        <v>159</v>
      </c>
      <c r="C26" s="1019" t="s">
        <v>543</v>
      </c>
      <c r="D26" s="1041">
        <v>0.04</v>
      </c>
      <c r="E26" s="1018" t="s">
        <v>161</v>
      </c>
      <c r="F26" s="1018">
        <v>17.600000000000001</v>
      </c>
      <c r="G26" s="1018" t="s">
        <v>264</v>
      </c>
      <c r="H26" s="1018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70"/>
    </row>
    <row r="27" spans="1:15" x14ac:dyDescent="0.3">
      <c r="A27" s="1040">
        <v>130</v>
      </c>
      <c r="B27" s="1019" t="s">
        <v>158</v>
      </c>
      <c r="C27" s="1019"/>
      <c r="D27" s="1041">
        <v>0.65</v>
      </c>
      <c r="E27" s="1018" t="s">
        <v>32</v>
      </c>
      <c r="F27" s="1018">
        <v>1</v>
      </c>
      <c r="G27" s="1018"/>
      <c r="H27" s="1018">
        <v>1</v>
      </c>
      <c r="I27" s="32">
        <f t="shared" si="0"/>
        <v>0.65</v>
      </c>
      <c r="J27" s="24"/>
      <c r="K27" s="24"/>
      <c r="L27" s="24"/>
      <c r="M27" s="24"/>
      <c r="N27" s="24"/>
      <c r="O27" s="270"/>
    </row>
    <row r="28" spans="1:15" x14ac:dyDescent="0.3">
      <c r="A28" s="1040">
        <v>140</v>
      </c>
      <c r="B28" s="1019" t="s">
        <v>159</v>
      </c>
      <c r="C28" s="1019" t="s">
        <v>544</v>
      </c>
      <c r="D28" s="1041">
        <v>0.04</v>
      </c>
      <c r="E28" s="1018" t="s">
        <v>161</v>
      </c>
      <c r="F28" s="1018">
        <v>5.8</v>
      </c>
      <c r="G28" s="1018" t="s">
        <v>264</v>
      </c>
      <c r="H28" s="1018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70"/>
    </row>
    <row r="29" spans="1:15" x14ac:dyDescent="0.3">
      <c r="A29" s="730"/>
      <c r="B29" s="24"/>
      <c r="C29" s="24"/>
      <c r="D29" s="24"/>
      <c r="E29" s="24"/>
      <c r="F29" s="24"/>
      <c r="G29" s="24"/>
      <c r="H29" s="111" t="s">
        <v>18</v>
      </c>
      <c r="I29" s="1028">
        <f>SUM(I15:I26)</f>
        <v>73.722000000000008</v>
      </c>
      <c r="J29" s="1029"/>
      <c r="K29" s="56"/>
      <c r="L29" s="56"/>
      <c r="M29" s="56"/>
      <c r="N29" s="56"/>
      <c r="O29" s="270"/>
    </row>
    <row r="30" spans="1:15" x14ac:dyDescent="0.3">
      <c r="A30" s="716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0"/>
    </row>
    <row r="31" spans="1:15" ht="15" thickBot="1" x14ac:dyDescent="0.35">
      <c r="A31" s="290"/>
      <c r="B31" s="291"/>
      <c r="C31" s="291"/>
      <c r="D31" s="291"/>
      <c r="E31" s="291"/>
      <c r="F31" s="291"/>
      <c r="G31" s="291"/>
      <c r="H31" s="291"/>
      <c r="I31" s="291"/>
      <c r="J31" s="291"/>
      <c r="K31" s="291"/>
      <c r="L31" s="291"/>
      <c r="M31" s="291"/>
      <c r="N31" s="291"/>
      <c r="O31" s="292"/>
    </row>
  </sheetData>
  <hyperlinks>
    <hyperlink ref="E3" location="dSU_10001" display="Drawing"/>
    <hyperlink ref="B4" location="SU_A1000" display="SU_A1000"/>
    <hyperlink ref="G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73" firstPageNumber="0" fitToHeight="99" orientation="landscape" r:id="rId1"/>
  <rowBreaks count="2" manualBreakCount="2">
    <brk id="27" max="16383" man="1"/>
    <brk id="61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570</v>
      </c>
    </row>
  </sheetData>
  <hyperlinks>
    <hyperlink ref="B1" location="SU_10001" display="SU_10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view="pageLayout" zoomScale="70" zoomScaleNormal="9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8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SU_10002_m+SU_10002_p</f>
        <v>2.5052785600000003</v>
      </c>
      <c r="O2" s="62"/>
    </row>
    <row r="3" spans="1:15" x14ac:dyDescent="0.3">
      <c r="A3" s="1008" t="s">
        <v>3</v>
      </c>
      <c r="B3" s="16" t="str">
        <f>'SU A1000'!B3</f>
        <v>Wheels &amp; Tires</v>
      </c>
      <c r="C3" s="56"/>
      <c r="D3" s="1008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62"/>
    </row>
    <row r="4" spans="1:15" x14ac:dyDescent="0.3">
      <c r="A4" s="1008" t="s">
        <v>5</v>
      </c>
      <c r="B4" s="277" t="str">
        <f>'SU A1000'!B4</f>
        <v>Front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62"/>
    </row>
    <row r="5" spans="1:15" x14ac:dyDescent="0.3">
      <c r="A5" s="1008" t="s">
        <v>15</v>
      </c>
      <c r="B5" s="18" t="s">
        <v>509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2.5052785600000003</v>
      </c>
      <c r="O5" s="62"/>
    </row>
    <row r="6" spans="1:15" x14ac:dyDescent="0.3">
      <c r="A6" s="1008" t="s">
        <v>7</v>
      </c>
      <c r="B6" s="28" t="s">
        <v>545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62"/>
    </row>
    <row r="7" spans="1:15" x14ac:dyDescent="0.3">
      <c r="A7" s="1008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8" t="s">
        <v>13</v>
      </c>
      <c r="B8" s="16" t="s">
        <v>546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1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62"/>
    </row>
    <row r="11" spans="1:15" s="22" customFormat="1" ht="28.8" x14ac:dyDescent="0.3">
      <c r="A11" s="1042">
        <v>10</v>
      </c>
      <c r="B11" s="981" t="s">
        <v>547</v>
      </c>
      <c r="C11" s="982"/>
      <c r="D11" s="32">
        <v>4.2</v>
      </c>
      <c r="E11" s="1037">
        <f>J11*K11*L11</f>
        <v>5.1256800000000005E-2</v>
      </c>
      <c r="F11" s="982" t="s">
        <v>212</v>
      </c>
      <c r="G11" s="982"/>
      <c r="H11" s="984"/>
      <c r="I11" s="841" t="s">
        <v>548</v>
      </c>
      <c r="J11" s="1038">
        <f>0.07*0.045</f>
        <v>3.15E-3</v>
      </c>
      <c r="K11" s="1039">
        <v>6.0000000000000001E-3</v>
      </c>
      <c r="L11" s="994">
        <v>2712</v>
      </c>
      <c r="M11" s="995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7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8">
        <v>10</v>
      </c>
      <c r="B15" s="1019" t="s">
        <v>535</v>
      </c>
      <c r="C15" s="1019" t="s">
        <v>549</v>
      </c>
      <c r="D15" s="1041">
        <v>1.3</v>
      </c>
      <c r="E15" s="1018" t="s">
        <v>32</v>
      </c>
      <c r="F15" s="1018">
        <v>1</v>
      </c>
      <c r="G15" s="1018"/>
      <c r="H15" s="1018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18">
        <v>20</v>
      </c>
      <c r="B16" s="1019" t="s">
        <v>159</v>
      </c>
      <c r="C16" s="1019" t="s">
        <v>550</v>
      </c>
      <c r="D16" s="1041">
        <v>0.04</v>
      </c>
      <c r="E16" s="1018" t="s">
        <v>161</v>
      </c>
      <c r="F16" s="1018">
        <v>5.3</v>
      </c>
      <c r="G16" s="1018" t="s">
        <v>264</v>
      </c>
      <c r="H16" s="1018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18">
        <v>30</v>
      </c>
      <c r="B17" s="1019" t="s">
        <v>158</v>
      </c>
      <c r="C17" s="1019" t="s">
        <v>551</v>
      </c>
      <c r="D17" s="1041">
        <v>0.65</v>
      </c>
      <c r="E17" s="1018" t="s">
        <v>32</v>
      </c>
      <c r="F17" s="1018">
        <v>1</v>
      </c>
      <c r="G17" s="1018"/>
      <c r="H17" s="1018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18">
        <v>40</v>
      </c>
      <c r="B18" s="1019" t="s">
        <v>159</v>
      </c>
      <c r="C18" s="1019" t="s">
        <v>550</v>
      </c>
      <c r="D18" s="1041">
        <v>0.04</v>
      </c>
      <c r="E18" s="1018" t="s">
        <v>161</v>
      </c>
      <c r="F18" s="1018">
        <v>3.2</v>
      </c>
      <c r="G18" s="1018" t="s">
        <v>264</v>
      </c>
      <c r="H18" s="1018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11" t="s">
        <v>18</v>
      </c>
      <c r="I19" s="1016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76" firstPageNumber="0" fitToHeight="99" orientation="landscape" r:id="rId1"/>
  <rowBreaks count="2" manualBreakCount="2">
    <brk id="21" max="16383" man="1"/>
    <brk id="55" max="16383" man="1"/>
  </row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571</v>
      </c>
    </row>
  </sheetData>
  <hyperlinks>
    <hyperlink ref="B1" location="SU_10002" display="SU_10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view="pageLayout" zoomScale="70" zoomScaleNormal="11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30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SU_10003_m+SU_10003_p</f>
        <v>18.677843750000001</v>
      </c>
      <c r="O2" s="270"/>
    </row>
    <row r="3" spans="1:15" x14ac:dyDescent="0.3">
      <c r="A3" s="1030" t="s">
        <v>3</v>
      </c>
      <c r="B3" s="16" t="str">
        <f>'SU A1000'!B3</f>
        <v>Wheels &amp; Tires</v>
      </c>
      <c r="C3" s="56"/>
      <c r="D3" s="1008" t="s">
        <v>6</v>
      </c>
      <c r="E3" s="277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270"/>
    </row>
    <row r="4" spans="1:15" x14ac:dyDescent="0.3">
      <c r="A4" s="1030" t="s">
        <v>5</v>
      </c>
      <c r="B4" s="277" t="str">
        <f>'SU A1000'!B4</f>
        <v>Front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270"/>
    </row>
    <row r="5" spans="1:15" x14ac:dyDescent="0.3">
      <c r="A5" s="1030" t="s">
        <v>15</v>
      </c>
      <c r="B5" s="18" t="s">
        <v>510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18.677843750000001</v>
      </c>
      <c r="O5" s="270"/>
    </row>
    <row r="6" spans="1:15" x14ac:dyDescent="0.3">
      <c r="A6" s="1030" t="s">
        <v>7</v>
      </c>
      <c r="B6" s="28" t="s">
        <v>552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270"/>
    </row>
    <row r="7" spans="1:15" x14ac:dyDescent="0.3">
      <c r="A7" s="1030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1030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1031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1032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270"/>
    </row>
    <row r="11" spans="1:15" s="22" customFormat="1" x14ac:dyDescent="0.3">
      <c r="A11" s="1033">
        <v>10</v>
      </c>
      <c r="B11" s="676" t="s">
        <v>554</v>
      </c>
      <c r="C11" s="20"/>
      <c r="D11" s="283">
        <v>2.25</v>
      </c>
      <c r="E11" s="1014">
        <f>J11*K11*L11</f>
        <v>1.236375</v>
      </c>
      <c r="F11" s="20" t="s">
        <v>212</v>
      </c>
      <c r="G11" s="20"/>
      <c r="H11" s="284"/>
      <c r="I11" s="21" t="s">
        <v>555</v>
      </c>
      <c r="J11" s="1015">
        <f>0.05*0.07</f>
        <v>3.5000000000000005E-3</v>
      </c>
      <c r="K11" s="679">
        <v>4.4999999999999998E-2</v>
      </c>
      <c r="L11" s="680">
        <v>7850</v>
      </c>
      <c r="M11" s="23">
        <v>1</v>
      </c>
      <c r="N11" s="283">
        <f>D11*E11</f>
        <v>2.7818437500000002</v>
      </c>
      <c r="O11" s="729"/>
    </row>
    <row r="12" spans="1:15" x14ac:dyDescent="0.3">
      <c r="A12" s="730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2.7818437500000002</v>
      </c>
      <c r="O12" s="270"/>
    </row>
    <row r="13" spans="1:15" x14ac:dyDescent="0.3">
      <c r="A13" s="71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0"/>
    </row>
    <row r="14" spans="1:15" x14ac:dyDescent="0.3">
      <c r="A14" s="1034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270"/>
    </row>
    <row r="15" spans="1:15" s="25" customFormat="1" x14ac:dyDescent="0.3">
      <c r="A15" s="1035">
        <v>10</v>
      </c>
      <c r="B15" s="667" t="s">
        <v>535</v>
      </c>
      <c r="C15" s="667" t="s">
        <v>536</v>
      </c>
      <c r="D15" s="279">
        <v>1.3</v>
      </c>
      <c r="E15" s="1007" t="s">
        <v>32</v>
      </c>
      <c r="F15" s="1007">
        <v>1</v>
      </c>
      <c r="G15" s="1007"/>
      <c r="H15" s="1007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1"/>
    </row>
    <row r="16" spans="1:15" x14ac:dyDescent="0.3">
      <c r="A16" s="1035">
        <v>20</v>
      </c>
      <c r="B16" s="667" t="s">
        <v>159</v>
      </c>
      <c r="C16" s="667" t="s">
        <v>556</v>
      </c>
      <c r="D16" s="279">
        <v>0.04</v>
      </c>
      <c r="E16" s="1007" t="s">
        <v>161</v>
      </c>
      <c r="F16" s="1007">
        <v>85.4</v>
      </c>
      <c r="G16" s="1007" t="s">
        <v>413</v>
      </c>
      <c r="H16" s="1007">
        <v>3</v>
      </c>
      <c r="I16" s="283">
        <f>IF(H16="",D16*F16,D16*F16*H16)</f>
        <v>10.248000000000001</v>
      </c>
      <c r="J16" s="56"/>
      <c r="K16" s="56"/>
      <c r="L16" s="56"/>
      <c r="M16" s="56"/>
      <c r="N16" s="56"/>
      <c r="O16" s="270"/>
    </row>
    <row r="17" spans="1:15" s="17" customFormat="1" x14ac:dyDescent="0.3">
      <c r="A17" s="1035">
        <v>30</v>
      </c>
      <c r="B17" s="667" t="s">
        <v>158</v>
      </c>
      <c r="C17" s="667" t="s">
        <v>538</v>
      </c>
      <c r="D17" s="279">
        <v>0.65</v>
      </c>
      <c r="E17" s="1007" t="s">
        <v>32</v>
      </c>
      <c r="F17" s="1007">
        <v>1</v>
      </c>
      <c r="G17" s="1007"/>
      <c r="H17" s="1007">
        <v>1</v>
      </c>
      <c r="I17" s="283">
        <f t="shared" si="0"/>
        <v>0.65</v>
      </c>
      <c r="J17" s="57"/>
      <c r="K17" s="57"/>
      <c r="L17" s="57"/>
      <c r="M17" s="57"/>
      <c r="N17" s="57"/>
      <c r="O17" s="734"/>
    </row>
    <row r="18" spans="1:15" s="17" customFormat="1" x14ac:dyDescent="0.3">
      <c r="A18" s="1035">
        <v>40</v>
      </c>
      <c r="B18" s="667" t="s">
        <v>159</v>
      </c>
      <c r="C18" s="667" t="s">
        <v>557</v>
      </c>
      <c r="D18" s="279">
        <v>0.04</v>
      </c>
      <c r="E18" s="1007" t="s">
        <v>161</v>
      </c>
      <c r="F18" s="1007">
        <v>25.2</v>
      </c>
      <c r="G18" s="1007" t="s">
        <v>413</v>
      </c>
      <c r="H18" s="1007">
        <v>3</v>
      </c>
      <c r="I18" s="283">
        <f>IF(H18="",D18*F18,D18*F18*H18)</f>
        <v>3.024</v>
      </c>
      <c r="J18" s="57"/>
      <c r="K18" s="57"/>
      <c r="L18" s="57"/>
      <c r="M18" s="57"/>
      <c r="N18" s="57"/>
      <c r="O18" s="734"/>
    </row>
    <row r="19" spans="1:15" s="17" customFormat="1" x14ac:dyDescent="0.3">
      <c r="A19" s="1035">
        <v>50</v>
      </c>
      <c r="B19" s="667" t="s">
        <v>158</v>
      </c>
      <c r="C19" s="667" t="s">
        <v>538</v>
      </c>
      <c r="D19" s="279">
        <v>0.65</v>
      </c>
      <c r="E19" s="1007" t="s">
        <v>32</v>
      </c>
      <c r="F19" s="1007">
        <v>1</v>
      </c>
      <c r="G19" s="1007"/>
      <c r="H19" s="1007">
        <v>1</v>
      </c>
      <c r="I19" s="283">
        <f t="shared" si="0"/>
        <v>0.65</v>
      </c>
      <c r="J19" s="57"/>
      <c r="K19" s="57"/>
      <c r="L19" s="57"/>
      <c r="M19" s="57"/>
      <c r="N19" s="57"/>
      <c r="O19" s="734"/>
    </row>
    <row r="20" spans="1:15" s="17" customFormat="1" x14ac:dyDescent="0.3">
      <c r="A20" s="1035">
        <v>60</v>
      </c>
      <c r="B20" s="667" t="s">
        <v>159</v>
      </c>
      <c r="C20" s="667" t="s">
        <v>558</v>
      </c>
      <c r="D20" s="279">
        <v>0.04</v>
      </c>
      <c r="E20" s="1007" t="s">
        <v>161</v>
      </c>
      <c r="F20" s="1007">
        <v>0.2</v>
      </c>
      <c r="G20" s="1007" t="s">
        <v>413</v>
      </c>
      <c r="H20" s="1007">
        <v>3</v>
      </c>
      <c r="I20" s="283">
        <f>IF(H20="",D20*F20,D20*F20*H20)</f>
        <v>2.4E-2</v>
      </c>
      <c r="J20" s="57"/>
      <c r="K20" s="57"/>
      <c r="L20" s="57"/>
      <c r="M20" s="57"/>
      <c r="N20" s="57"/>
      <c r="O20" s="734"/>
    </row>
    <row r="21" spans="1:15" x14ac:dyDescent="0.3">
      <c r="A21" s="1035">
        <v>70</v>
      </c>
      <c r="B21" s="667" t="s">
        <v>158</v>
      </c>
      <c r="C21" s="667" t="s">
        <v>538</v>
      </c>
      <c r="D21" s="279">
        <v>0.65</v>
      </c>
      <c r="E21" s="1007" t="s">
        <v>32</v>
      </c>
      <c r="F21" s="1007">
        <v>1</v>
      </c>
      <c r="G21" s="1007"/>
      <c r="H21" s="1007">
        <v>1</v>
      </c>
      <c r="I21" s="283">
        <f t="shared" ref="I21" si="1">IF(H21="",D21*F21,D21*F21*H21)</f>
        <v>0.65</v>
      </c>
      <c r="J21" s="24"/>
      <c r="K21" s="24"/>
      <c r="L21" s="24"/>
      <c r="M21" s="24"/>
      <c r="N21" s="24"/>
      <c r="O21" s="270"/>
    </row>
    <row r="22" spans="1:15" x14ac:dyDescent="0.3">
      <c r="A22" s="1035">
        <v>80</v>
      </c>
      <c r="B22" s="667" t="s">
        <v>159</v>
      </c>
      <c r="C22" s="667" t="s">
        <v>559</v>
      </c>
      <c r="D22" s="279">
        <v>0.04</v>
      </c>
      <c r="E22" s="1007" t="s">
        <v>161</v>
      </c>
      <c r="F22" s="1007">
        <v>3.56</v>
      </c>
      <c r="G22" s="1007" t="s">
        <v>413</v>
      </c>
      <c r="H22" s="1005">
        <v>3</v>
      </c>
      <c r="I22" s="1050">
        <f>IF(H22="",D22*F22,D22*F22*H22)</f>
        <v>0.42720000000000002</v>
      </c>
      <c r="J22" s="56"/>
      <c r="K22" s="56"/>
      <c r="L22" s="56"/>
      <c r="M22" s="56"/>
      <c r="N22" s="56"/>
      <c r="O22" s="270"/>
    </row>
    <row r="23" spans="1:15" x14ac:dyDescent="0.3">
      <c r="A23" s="716"/>
      <c r="B23" s="56"/>
      <c r="C23" s="56"/>
      <c r="D23" s="56"/>
      <c r="E23" s="56"/>
      <c r="F23" s="56"/>
      <c r="G23" s="56"/>
      <c r="H23" s="108" t="s">
        <v>18</v>
      </c>
      <c r="I23" s="1051">
        <f>SUM(I15:I20)</f>
        <v>15.896000000000001</v>
      </c>
      <c r="J23" s="56"/>
      <c r="K23" s="56"/>
      <c r="L23" s="56"/>
      <c r="M23" s="56"/>
      <c r="N23" s="56"/>
      <c r="O23" s="270"/>
    </row>
    <row r="24" spans="1:15" ht="15" thickBot="1" x14ac:dyDescent="0.35">
      <c r="A24" s="290"/>
      <c r="B24" s="291"/>
      <c r="C24" s="291"/>
      <c r="D24" s="291"/>
      <c r="E24" s="291"/>
      <c r="F24" s="291"/>
      <c r="G24" s="291"/>
      <c r="H24" s="291"/>
      <c r="I24" s="291"/>
      <c r="J24" s="291"/>
      <c r="K24" s="291"/>
      <c r="L24" s="291"/>
      <c r="M24" s="291"/>
      <c r="N24" s="291"/>
      <c r="O24" s="292"/>
    </row>
  </sheetData>
  <hyperlinks>
    <hyperlink ref="E3" location="dSU_10003" display="Drawing"/>
    <hyperlink ref="B4" location="SU_A1000" display="SU_A1000"/>
    <hyperlink ref="G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81" firstPageNumber="0" fitToHeight="99" orientation="landscape" r:id="rId1"/>
  <rowBreaks count="2" manualBreakCount="2">
    <brk id="23" max="16383" man="1"/>
    <brk id="57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572</v>
      </c>
    </row>
  </sheetData>
  <hyperlinks>
    <hyperlink ref="B1" location="SU_10003" display="SU_10003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9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8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SU_10004_m+SU_10004_p</f>
        <v>0.83572750000000007</v>
      </c>
      <c r="O2" s="62"/>
    </row>
    <row r="3" spans="1:15" x14ac:dyDescent="0.3">
      <c r="A3" s="1008" t="s">
        <v>3</v>
      </c>
      <c r="B3" s="16" t="str">
        <f>'SU A1000'!B3</f>
        <v>Wheels &amp; Tires</v>
      </c>
      <c r="C3" s="56"/>
      <c r="D3" s="1008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62"/>
    </row>
    <row r="4" spans="1:15" x14ac:dyDescent="0.3">
      <c r="A4" s="1008" t="s">
        <v>5</v>
      </c>
      <c r="B4" s="277" t="str">
        <f>'SU A1000'!B4</f>
        <v>Front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62"/>
    </row>
    <row r="5" spans="1:15" x14ac:dyDescent="0.3">
      <c r="A5" s="1008" t="s">
        <v>15</v>
      </c>
      <c r="B5" s="18" t="s">
        <v>560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0.83572750000000007</v>
      </c>
      <c r="O5" s="62"/>
    </row>
    <row r="6" spans="1:15" x14ac:dyDescent="0.3">
      <c r="A6" s="1008" t="s">
        <v>7</v>
      </c>
      <c r="B6" s="28" t="s">
        <v>561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62"/>
    </row>
    <row r="7" spans="1:15" x14ac:dyDescent="0.3">
      <c r="A7" s="1008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8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1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62"/>
    </row>
    <row r="11" spans="1:15" s="25" customFormat="1" ht="28.8" x14ac:dyDescent="0.3">
      <c r="A11" s="1042">
        <v>10</v>
      </c>
      <c r="B11" s="981" t="s">
        <v>375</v>
      </c>
      <c r="C11" s="982"/>
      <c r="D11" s="32">
        <v>2.25</v>
      </c>
      <c r="E11" s="1037">
        <f>J11*K11*L11</f>
        <v>1.099E-2</v>
      </c>
      <c r="F11" s="982" t="s">
        <v>212</v>
      </c>
      <c r="G11" s="982"/>
      <c r="H11" s="984"/>
      <c r="I11" s="841" t="s">
        <v>563</v>
      </c>
      <c r="J11" s="1038">
        <f>(35*40*10^(-6))</f>
        <v>1.4E-3</v>
      </c>
      <c r="K11" s="1039">
        <v>1E-3</v>
      </c>
      <c r="L11" s="994">
        <v>7850</v>
      </c>
      <c r="M11" s="995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7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8">
        <v>10</v>
      </c>
      <c r="B15" s="1019" t="s">
        <v>535</v>
      </c>
      <c r="C15" s="1019" t="s">
        <v>549</v>
      </c>
      <c r="D15" s="1041">
        <v>1.3</v>
      </c>
      <c r="E15" s="1018" t="s">
        <v>32</v>
      </c>
      <c r="F15" s="1018">
        <v>1</v>
      </c>
      <c r="G15" s="1018" t="s">
        <v>564</v>
      </c>
      <c r="H15" s="1018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18">
        <v>20</v>
      </c>
      <c r="B16" s="1019" t="s">
        <v>421</v>
      </c>
      <c r="C16" s="1019"/>
      <c r="D16" s="1041">
        <v>0.01</v>
      </c>
      <c r="E16" s="1018" t="s">
        <v>40</v>
      </c>
      <c r="F16" s="1018">
        <v>16.100000000000001</v>
      </c>
      <c r="G16" s="675"/>
      <c r="H16" s="1043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18">
        <v>30</v>
      </c>
      <c r="B17" s="1019" t="s">
        <v>565</v>
      </c>
      <c r="C17" s="1019"/>
      <c r="D17" s="1020">
        <v>0.25</v>
      </c>
      <c r="E17" s="1018" t="s">
        <v>566</v>
      </c>
      <c r="F17" s="1018">
        <v>2</v>
      </c>
      <c r="G17" s="1018"/>
      <c r="H17" s="1018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16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84" firstPageNumber="0" fitToHeight="99" orientation="landscape" r:id="rId1"/>
  <rowBreaks count="2" manualBreakCount="2">
    <brk id="19" max="16383" man="1"/>
    <brk id="53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1"/>
      <c r="B1" s="342"/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3"/>
    </row>
    <row r="2" spans="1:15" x14ac:dyDescent="0.3">
      <c r="A2" s="344" t="s">
        <v>0</v>
      </c>
      <c r="B2" s="345" t="s">
        <v>37</v>
      </c>
      <c r="C2" s="346"/>
      <c r="D2" s="346"/>
      <c r="E2" s="346"/>
      <c r="F2" s="346"/>
      <c r="G2" s="347" t="s">
        <v>126</v>
      </c>
      <c r="H2" s="346"/>
      <c r="I2" s="346"/>
      <c r="J2" s="348" t="s">
        <v>1</v>
      </c>
      <c r="K2" s="349">
        <v>81</v>
      </c>
      <c r="L2" s="346"/>
      <c r="M2" s="344" t="s">
        <v>16</v>
      </c>
      <c r="N2" s="350">
        <f>N12+I18</f>
        <v>1.1551782399999999</v>
      </c>
      <c r="O2" s="351"/>
    </row>
    <row r="3" spans="1:15" x14ac:dyDescent="0.3">
      <c r="A3" s="344" t="s">
        <v>3</v>
      </c>
      <c r="B3" s="345" t="str">
        <f>'SU A0100'!B3</f>
        <v>Suspension &amp; Shocks</v>
      </c>
      <c r="C3" s="346"/>
      <c r="D3" s="344" t="s">
        <v>6</v>
      </c>
      <c r="E3" s="388" t="s">
        <v>86</v>
      </c>
      <c r="F3" s="346"/>
      <c r="G3" s="346"/>
      <c r="H3" s="346"/>
      <c r="I3" s="346"/>
      <c r="J3" s="346"/>
      <c r="K3" s="346"/>
      <c r="L3" s="346"/>
      <c r="M3" s="344" t="s">
        <v>4</v>
      </c>
      <c r="N3" s="353">
        <v>4</v>
      </c>
      <c r="O3" s="351"/>
    </row>
    <row r="4" spans="1:15" x14ac:dyDescent="0.3">
      <c r="A4" s="344" t="s">
        <v>5</v>
      </c>
      <c r="B4" s="347" t="str">
        <f>'SU A0100'!B4</f>
        <v>Upper Front A-arm</v>
      </c>
      <c r="C4" s="346"/>
      <c r="D4" s="344" t="s">
        <v>8</v>
      </c>
      <c r="E4" s="346"/>
      <c r="F4" s="346"/>
      <c r="G4" s="346"/>
      <c r="H4" s="346"/>
      <c r="I4" s="346"/>
      <c r="J4" s="354" t="s">
        <v>6</v>
      </c>
      <c r="K4" s="346"/>
      <c r="L4" s="346"/>
      <c r="M4" s="346"/>
      <c r="N4" s="346"/>
      <c r="O4" s="351"/>
    </row>
    <row r="5" spans="1:15" x14ac:dyDescent="0.3">
      <c r="A5" s="344" t="s">
        <v>15</v>
      </c>
      <c r="B5" s="389" t="s">
        <v>192</v>
      </c>
      <c r="C5" s="346"/>
      <c r="D5" s="344" t="s">
        <v>12</v>
      </c>
      <c r="E5" s="346"/>
      <c r="F5" s="346"/>
      <c r="G5" s="346"/>
      <c r="H5" s="346"/>
      <c r="I5" s="346"/>
      <c r="J5" s="354" t="s">
        <v>8</v>
      </c>
      <c r="K5" s="346"/>
      <c r="L5" s="346"/>
      <c r="M5" s="344" t="s">
        <v>9</v>
      </c>
      <c r="N5" s="350">
        <f>N3*N2</f>
        <v>4.6207129599999996</v>
      </c>
      <c r="O5" s="351"/>
    </row>
    <row r="6" spans="1:15" x14ac:dyDescent="0.3">
      <c r="A6" s="344" t="s">
        <v>7</v>
      </c>
      <c r="B6" s="356" t="s">
        <v>194</v>
      </c>
      <c r="C6" s="346"/>
      <c r="D6" s="346"/>
      <c r="E6" s="346"/>
      <c r="F6" s="346"/>
      <c r="G6" s="346"/>
      <c r="H6" s="346"/>
      <c r="I6" s="346"/>
      <c r="J6" s="354" t="s">
        <v>12</v>
      </c>
      <c r="K6" s="346"/>
      <c r="L6" s="346"/>
      <c r="M6" s="346"/>
      <c r="N6" s="346"/>
      <c r="O6" s="351"/>
    </row>
    <row r="7" spans="1:15" x14ac:dyDescent="0.3">
      <c r="A7" s="344" t="s">
        <v>10</v>
      </c>
      <c r="B7" s="345" t="s">
        <v>11</v>
      </c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51"/>
    </row>
    <row r="8" spans="1:15" x14ac:dyDescent="0.3">
      <c r="A8" s="344" t="s">
        <v>13</v>
      </c>
      <c r="B8" s="345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51"/>
    </row>
    <row r="9" spans="1:15" x14ac:dyDescent="0.3">
      <c r="A9" s="357"/>
      <c r="B9" s="358"/>
      <c r="C9" s="358"/>
      <c r="D9" s="358"/>
      <c r="E9" s="358"/>
      <c r="F9" s="346"/>
      <c r="G9" s="346"/>
      <c r="H9" s="346"/>
      <c r="I9" s="346"/>
      <c r="J9" s="346"/>
      <c r="K9" s="346"/>
      <c r="L9" s="346"/>
      <c r="M9" s="346"/>
      <c r="N9" s="346"/>
      <c r="O9" s="351"/>
    </row>
    <row r="10" spans="1:15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5" x14ac:dyDescent="0.3">
      <c r="A11" s="316">
        <v>10</v>
      </c>
      <c r="B11" s="517" t="s">
        <v>278</v>
      </c>
      <c r="C11" s="567"/>
      <c r="D11" s="568">
        <v>2.25</v>
      </c>
      <c r="E11" s="368">
        <f>J11*K11*L11</f>
        <v>6.3101440000000009E-2</v>
      </c>
      <c r="F11" s="366" t="s">
        <v>162</v>
      </c>
      <c r="G11" s="366"/>
      <c r="H11" s="367"/>
      <c r="I11" s="368" t="s">
        <v>165</v>
      </c>
      <c r="J11" s="369">
        <f>3.14*8*8/1000000</f>
        <v>2.0096E-4</v>
      </c>
      <c r="K11" s="395">
        <v>0.04</v>
      </c>
      <c r="L11" s="371">
        <v>7850</v>
      </c>
      <c r="M11" s="372">
        <v>1</v>
      </c>
      <c r="N11" s="373">
        <f>D11*E11*M11</f>
        <v>0.14197824000000003</v>
      </c>
      <c r="O11" s="374"/>
    </row>
    <row r="12" spans="1:15" x14ac:dyDescent="0.3">
      <c r="A12" s="375"/>
      <c r="B12" s="376"/>
      <c r="C12" s="376"/>
      <c r="D12" s="376"/>
      <c r="E12" s="376"/>
      <c r="F12" s="376"/>
      <c r="G12" s="376"/>
      <c r="H12" s="376"/>
      <c r="I12" s="376"/>
      <c r="J12" s="376"/>
      <c r="K12" s="376"/>
      <c r="L12" s="376"/>
      <c r="M12" s="377" t="s">
        <v>18</v>
      </c>
      <c r="N12" s="378">
        <f>SUM(N11:N11)</f>
        <v>0.14197824000000003</v>
      </c>
      <c r="O12" s="351"/>
    </row>
    <row r="13" spans="1:15" x14ac:dyDescent="0.3">
      <c r="A13" s="379"/>
      <c r="B13" s="346"/>
      <c r="C13" s="346"/>
      <c r="D13" s="346"/>
      <c r="E13" s="346"/>
      <c r="F13" s="346"/>
      <c r="G13" s="346"/>
      <c r="H13" s="346"/>
      <c r="I13" s="346"/>
      <c r="J13" s="346"/>
      <c r="K13" s="346"/>
      <c r="L13" s="346"/>
      <c r="M13" s="346"/>
      <c r="N13" s="346"/>
      <c r="O13" s="351"/>
    </row>
    <row r="14" spans="1:15" x14ac:dyDescent="0.3">
      <c r="A14" s="380" t="s">
        <v>14</v>
      </c>
      <c r="B14" s="361" t="s">
        <v>31</v>
      </c>
      <c r="C14" s="361" t="s">
        <v>20</v>
      </c>
      <c r="D14" s="361" t="s">
        <v>21</v>
      </c>
      <c r="E14" s="361" t="s">
        <v>32</v>
      </c>
      <c r="F14" s="361" t="s">
        <v>17</v>
      </c>
      <c r="G14" s="361" t="s">
        <v>33</v>
      </c>
      <c r="H14" s="361" t="s">
        <v>34</v>
      </c>
      <c r="I14" s="361" t="s">
        <v>18</v>
      </c>
      <c r="J14" s="376"/>
      <c r="K14" s="376"/>
      <c r="L14" s="376"/>
      <c r="M14" s="376"/>
      <c r="N14" s="376"/>
      <c r="O14" s="351"/>
    </row>
    <row r="15" spans="1:15" ht="29.4" customHeight="1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5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0.11</v>
      </c>
      <c r="G16" s="391" t="s">
        <v>268</v>
      </c>
      <c r="H16" s="391">
        <v>3</v>
      </c>
      <c r="I16" s="340">
        <f>IF(H16="",D16*F16,D16*F16*H16)</f>
        <v>1.32E-2</v>
      </c>
      <c r="J16" s="346"/>
      <c r="K16" s="346"/>
      <c r="L16" s="346"/>
      <c r="M16" s="346"/>
      <c r="N16" s="346"/>
      <c r="O16" s="351"/>
    </row>
    <row r="17" spans="1:15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5" x14ac:dyDescent="0.3">
      <c r="A18" s="375"/>
      <c r="B18" s="376"/>
      <c r="C18" s="376"/>
      <c r="D18" s="376"/>
      <c r="E18" s="376"/>
      <c r="F18" s="376"/>
      <c r="G18" s="376"/>
      <c r="H18" s="384" t="s">
        <v>18</v>
      </c>
      <c r="I18" s="378">
        <f>SUM(I15:I17)</f>
        <v>1.0131999999999999</v>
      </c>
      <c r="J18" s="376"/>
      <c r="K18" s="376"/>
      <c r="L18" s="376"/>
      <c r="M18" s="376"/>
      <c r="N18" s="376"/>
      <c r="O18" s="351"/>
    </row>
    <row r="19" spans="1:15" ht="15" thickBot="1" x14ac:dyDescent="0.35">
      <c r="A19" s="385"/>
      <c r="B19" s="386"/>
      <c r="C19" s="386"/>
      <c r="D19" s="386"/>
      <c r="E19" s="386"/>
      <c r="F19" s="386"/>
      <c r="G19" s="386"/>
      <c r="H19" s="386"/>
      <c r="I19" s="386"/>
      <c r="J19" s="386"/>
      <c r="K19" s="386"/>
      <c r="L19" s="386"/>
      <c r="M19" s="386"/>
      <c r="N19" s="386"/>
      <c r="O19" s="387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71" fitToHeight="99" orientation="landscape"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1" t="s">
        <v>573</v>
      </c>
    </row>
  </sheetData>
  <hyperlinks>
    <hyperlink ref="B1" location="SU_10004" display="SU_10004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9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9.109375" customWidth="1"/>
    <col min="7" max="7" width="11.55468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8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SU_10005_m+SU_10005_p</f>
        <v>0.42691833333333334</v>
      </c>
      <c r="O2" s="62"/>
    </row>
    <row r="3" spans="1:15" x14ac:dyDescent="0.3">
      <c r="A3" s="1008" t="s">
        <v>3</v>
      </c>
      <c r="B3" s="16" t="str">
        <f>'SU A1000'!B3</f>
        <v>Wheels &amp; Tires</v>
      </c>
      <c r="C3" s="56"/>
      <c r="D3" s="1008" t="s">
        <v>6</v>
      </c>
      <c r="E3" s="1009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15</v>
      </c>
      <c r="O3" s="62"/>
    </row>
    <row r="4" spans="1:15" x14ac:dyDescent="0.3">
      <c r="A4" s="1008" t="s">
        <v>5</v>
      </c>
      <c r="B4" s="277" t="str">
        <f>'SU A1000'!B4</f>
        <v>Front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62"/>
    </row>
    <row r="5" spans="1:15" x14ac:dyDescent="0.3">
      <c r="A5" s="1008" t="s">
        <v>15</v>
      </c>
      <c r="B5" s="18" t="s">
        <v>512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6.4037750000000004</v>
      </c>
      <c r="O5" s="62"/>
    </row>
    <row r="6" spans="1:15" x14ac:dyDescent="0.3">
      <c r="A6" s="1008" t="s">
        <v>7</v>
      </c>
      <c r="B6" s="28" t="s">
        <v>567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62"/>
    </row>
    <row r="7" spans="1:15" x14ac:dyDescent="0.3">
      <c r="A7" s="1008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8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1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62"/>
    </row>
    <row r="11" spans="1:15" s="22" customFormat="1" ht="28.8" x14ac:dyDescent="0.3">
      <c r="A11" s="1042">
        <v>10</v>
      </c>
      <c r="B11" s="777" t="s">
        <v>375</v>
      </c>
      <c r="C11" s="1018"/>
      <c r="D11" s="1041">
        <v>2.25</v>
      </c>
      <c r="E11" s="1037">
        <f>J11*K11*L11</f>
        <v>2.826E-2</v>
      </c>
      <c r="F11" s="982" t="s">
        <v>212</v>
      </c>
      <c r="G11" s="982"/>
      <c r="H11" s="984"/>
      <c r="I11" s="841" t="s">
        <v>569</v>
      </c>
      <c r="J11" s="1038">
        <f>0.08*0.045</f>
        <v>3.5999999999999999E-3</v>
      </c>
      <c r="K11" s="1039">
        <v>1E-3</v>
      </c>
      <c r="L11" s="994">
        <v>7850</v>
      </c>
      <c r="M11" s="995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17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8">
        <v>10</v>
      </c>
      <c r="B15" s="1019" t="s">
        <v>535</v>
      </c>
      <c r="C15" s="1019" t="s">
        <v>549</v>
      </c>
      <c r="D15" s="1041">
        <v>1.3</v>
      </c>
      <c r="E15" s="1018" t="s">
        <v>32</v>
      </c>
      <c r="F15" s="1018">
        <v>1</v>
      </c>
      <c r="G15" s="1018" t="s">
        <v>564</v>
      </c>
      <c r="H15" s="1018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18">
        <v>20</v>
      </c>
      <c r="B16" s="1019" t="s">
        <v>421</v>
      </c>
      <c r="C16" s="1019"/>
      <c r="D16" s="1041">
        <v>0.01</v>
      </c>
      <c r="E16" s="1018" t="s">
        <v>40</v>
      </c>
      <c r="F16" s="1018">
        <v>32</v>
      </c>
      <c r="G16" s="1018"/>
      <c r="H16" s="1018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16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ageMargins left="0.70866141732283472" right="0.70866141732283472" top="0.74803149606299213" bottom="0.74803149606299213" header="0.31496062992125984" footer="0.31496062992125984"/>
  <pageSetup paperSize="9" scale="85" firstPageNumber="0" fitToHeight="99" orientation="landscape" r:id="rId1"/>
  <rowBreaks count="2" manualBreakCount="2">
    <brk id="19" max="16383" man="1"/>
    <brk id="53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574</v>
      </c>
    </row>
  </sheetData>
  <hyperlinks>
    <hyperlink ref="B1" location="SU_10005" display="SU_10005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7"/>
  <sheetViews>
    <sheetView view="pageLayout" zoomScale="70" zoomScaleNormal="10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5.77734375" customWidth="1"/>
    <col min="3" max="3" width="39" customWidth="1"/>
    <col min="15" max="15" width="5.3320312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44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1000" t="s">
        <v>1</v>
      </c>
      <c r="K2" s="83">
        <v>81</v>
      </c>
      <c r="L2" s="56"/>
      <c r="M2" s="1000" t="s">
        <v>2</v>
      </c>
      <c r="N2" s="95">
        <f>E14+I30+J34</f>
        <v>155.5004639182512</v>
      </c>
      <c r="O2" s="270"/>
    </row>
    <row r="3" spans="1:15" x14ac:dyDescent="0.3">
      <c r="A3" s="1044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1000" t="s">
        <v>4</v>
      </c>
      <c r="N3" s="82">
        <v>2</v>
      </c>
      <c r="O3" s="270"/>
    </row>
    <row r="4" spans="1:15" x14ac:dyDescent="0.3">
      <c r="A4" s="1044" t="s">
        <v>5</v>
      </c>
      <c r="B4" s="57" t="s">
        <v>595</v>
      </c>
      <c r="C4" s="56"/>
      <c r="D4" s="56"/>
      <c r="E4" s="56"/>
      <c r="F4" s="56"/>
      <c r="G4" s="56"/>
      <c r="H4" s="56"/>
      <c r="I4" s="56"/>
      <c r="J4" s="1001" t="s">
        <v>6</v>
      </c>
      <c r="K4" s="56"/>
      <c r="L4" s="56"/>
      <c r="M4" s="56"/>
      <c r="N4" s="56"/>
      <c r="O4" s="270"/>
    </row>
    <row r="5" spans="1:15" x14ac:dyDescent="0.3">
      <c r="A5" s="1044" t="s">
        <v>7</v>
      </c>
      <c r="B5" s="18" t="s">
        <v>596</v>
      </c>
      <c r="C5" s="56"/>
      <c r="D5" s="56"/>
      <c r="E5" s="56"/>
      <c r="F5" s="56"/>
      <c r="G5" s="56"/>
      <c r="H5" s="56"/>
      <c r="I5" s="56"/>
      <c r="J5" s="1001" t="s">
        <v>8</v>
      </c>
      <c r="K5" s="56"/>
      <c r="L5" s="56"/>
      <c r="M5" s="1000" t="s">
        <v>9</v>
      </c>
      <c r="N5" s="74">
        <f>N2*N3</f>
        <v>311.0009278365024</v>
      </c>
      <c r="O5" s="270"/>
    </row>
    <row r="6" spans="1:15" x14ac:dyDescent="0.3">
      <c r="A6" s="1044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1001" t="s">
        <v>12</v>
      </c>
      <c r="K6" s="56"/>
      <c r="L6" s="56"/>
      <c r="M6" s="56"/>
      <c r="N6" s="56"/>
      <c r="O6" s="270"/>
    </row>
    <row r="7" spans="1:15" x14ac:dyDescent="0.3">
      <c r="A7" s="1044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716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1044" t="s">
        <v>14</v>
      </c>
      <c r="B9" s="1000" t="s">
        <v>15</v>
      </c>
      <c r="C9" s="1000" t="s">
        <v>16</v>
      </c>
      <c r="D9" s="1000" t="s">
        <v>17</v>
      </c>
      <c r="E9" s="100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725">
        <v>10</v>
      </c>
      <c r="B10" s="86" t="str">
        <f>'SU 11001'!B5</f>
        <v>Rear Upright</v>
      </c>
      <c r="C10" s="74">
        <f>'SU 11001'!N2</f>
        <v>106.51997000000001</v>
      </c>
      <c r="D10" s="1002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70"/>
    </row>
    <row r="11" spans="1:15" x14ac:dyDescent="0.3">
      <c r="A11" s="725">
        <v>20</v>
      </c>
      <c r="B11" s="88" t="s">
        <v>510</v>
      </c>
      <c r="C11" s="74">
        <f>'SU 11002'!N2</f>
        <v>21.194420000000001</v>
      </c>
      <c r="D11" s="1002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23"/>
    </row>
    <row r="12" spans="1:15" s="17" customFormat="1" x14ac:dyDescent="0.3">
      <c r="A12" s="725">
        <v>30</v>
      </c>
      <c r="B12" s="86" t="s">
        <v>511</v>
      </c>
      <c r="C12" s="74">
        <f>'SU 11003'!N2</f>
        <v>0.82576020000000006</v>
      </c>
      <c r="D12" s="1002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23"/>
    </row>
    <row r="13" spans="1:15" s="17" customFormat="1" x14ac:dyDescent="0.3">
      <c r="A13" s="725">
        <v>40</v>
      </c>
      <c r="B13" s="86" t="s">
        <v>512</v>
      </c>
      <c r="C13" s="74">
        <f>'SU 11004'!N2</f>
        <v>0.42454853333333331</v>
      </c>
      <c r="D13" s="1002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34"/>
    </row>
    <row r="14" spans="1:15" x14ac:dyDescent="0.3">
      <c r="A14" s="716"/>
      <c r="B14" s="56"/>
      <c r="C14" s="56"/>
      <c r="D14" s="101" t="s">
        <v>18</v>
      </c>
      <c r="E14" s="1004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70"/>
    </row>
    <row r="15" spans="1:15" x14ac:dyDescent="0.3">
      <c r="A15" s="716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0"/>
    </row>
    <row r="16" spans="1:15" x14ac:dyDescent="0.3">
      <c r="A16" s="716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70"/>
    </row>
    <row r="17" spans="1:19" x14ac:dyDescent="0.3">
      <c r="A17" s="1044" t="s">
        <v>14</v>
      </c>
      <c r="B17" s="1000" t="s">
        <v>31</v>
      </c>
      <c r="C17" s="1000" t="s">
        <v>20</v>
      </c>
      <c r="D17" s="1000" t="s">
        <v>21</v>
      </c>
      <c r="E17" s="1000" t="s">
        <v>32</v>
      </c>
      <c r="F17" s="1000" t="s">
        <v>17</v>
      </c>
      <c r="G17" s="1000" t="s">
        <v>33</v>
      </c>
      <c r="H17" s="1000" t="s">
        <v>34</v>
      </c>
      <c r="I17" s="1000" t="s">
        <v>18</v>
      </c>
      <c r="J17" s="24"/>
      <c r="K17" s="24"/>
      <c r="L17" s="24"/>
      <c r="M17" s="24"/>
      <c r="N17" s="24"/>
      <c r="O17" s="731"/>
    </row>
    <row r="18" spans="1:19" s="22" customFormat="1" x14ac:dyDescent="0.3">
      <c r="A18" s="1046">
        <v>10</v>
      </c>
      <c r="B18" s="1019" t="s">
        <v>513</v>
      </c>
      <c r="C18" s="1019" t="s">
        <v>514</v>
      </c>
      <c r="D18" s="1023">
        <v>0.56000000000000005</v>
      </c>
      <c r="E18" s="1018" t="s">
        <v>35</v>
      </c>
      <c r="F18" s="1018">
        <v>1</v>
      </c>
      <c r="G18" s="1018"/>
      <c r="H18" s="1018">
        <v>1</v>
      </c>
      <c r="I18" s="1059">
        <f t="shared" ref="I18:I26" si="0">IF(H18="",D18*F18,D18*F18*H18)</f>
        <v>0.56000000000000005</v>
      </c>
      <c r="J18" s="56"/>
      <c r="K18" s="56"/>
      <c r="L18" s="56"/>
      <c r="M18" s="56"/>
      <c r="N18" s="56"/>
      <c r="O18" s="270"/>
    </row>
    <row r="19" spans="1:19" ht="28.8" x14ac:dyDescent="0.3">
      <c r="A19" s="1040">
        <v>20</v>
      </c>
      <c r="B19" s="1019" t="s">
        <v>515</v>
      </c>
      <c r="C19" s="1019" t="s">
        <v>517</v>
      </c>
      <c r="D19" s="1020">
        <v>0.13</v>
      </c>
      <c r="E19" s="1018" t="s">
        <v>35</v>
      </c>
      <c r="F19" s="1018">
        <v>1</v>
      </c>
      <c r="G19" s="1018"/>
      <c r="H19" s="1018">
        <v>1</v>
      </c>
      <c r="I19" s="1059">
        <f t="shared" si="0"/>
        <v>0.13</v>
      </c>
      <c r="J19" s="56"/>
      <c r="K19" s="56"/>
      <c r="L19" s="56"/>
      <c r="M19" s="56"/>
      <c r="N19" s="56"/>
      <c r="O19" s="270"/>
    </row>
    <row r="20" spans="1:19" x14ac:dyDescent="0.3">
      <c r="A20" s="1040">
        <v>30</v>
      </c>
      <c r="B20" s="1019" t="s">
        <v>515</v>
      </c>
      <c r="C20" s="1019" t="s">
        <v>518</v>
      </c>
      <c r="D20" s="1020">
        <v>0.13</v>
      </c>
      <c r="E20" s="1018" t="s">
        <v>35</v>
      </c>
      <c r="F20" s="1018">
        <v>1</v>
      </c>
      <c r="G20" s="1018"/>
      <c r="H20" s="1018">
        <v>1</v>
      </c>
      <c r="I20" s="1059">
        <f t="shared" si="0"/>
        <v>0.13</v>
      </c>
      <c r="J20" s="57"/>
      <c r="K20" s="57"/>
      <c r="L20" s="57"/>
      <c r="M20" s="57"/>
      <c r="N20" s="57"/>
      <c r="O20" s="734"/>
    </row>
    <row r="21" spans="1:19" s="25" customFormat="1" x14ac:dyDescent="0.3">
      <c r="A21" s="1046">
        <v>40</v>
      </c>
      <c r="B21" s="1019" t="s">
        <v>366</v>
      </c>
      <c r="C21" s="1019" t="s">
        <v>575</v>
      </c>
      <c r="D21" s="1020">
        <v>0.75</v>
      </c>
      <c r="E21" s="1018" t="s">
        <v>35</v>
      </c>
      <c r="F21" s="1018">
        <v>3</v>
      </c>
      <c r="G21" s="1018"/>
      <c r="H21" s="1018">
        <v>1</v>
      </c>
      <c r="I21" s="1059">
        <f t="shared" si="0"/>
        <v>2.25</v>
      </c>
      <c r="J21" s="57"/>
      <c r="K21" s="57"/>
      <c r="L21" s="57"/>
      <c r="M21" s="57"/>
      <c r="N21" s="57"/>
      <c r="O21" s="731"/>
    </row>
    <row r="22" spans="1:19" x14ac:dyDescent="0.3">
      <c r="A22" s="1040">
        <v>50</v>
      </c>
      <c r="B22" s="1060" t="s">
        <v>520</v>
      </c>
      <c r="C22" s="1019" t="s">
        <v>575</v>
      </c>
      <c r="D22" s="1061">
        <v>0.25</v>
      </c>
      <c r="E22" s="1022" t="s">
        <v>32</v>
      </c>
      <c r="F22" s="1022">
        <v>3</v>
      </c>
      <c r="G22" s="1018"/>
      <c r="H22" s="1018">
        <v>1</v>
      </c>
      <c r="I22" s="1059">
        <f t="shared" si="0"/>
        <v>0.75</v>
      </c>
      <c r="J22" s="57"/>
      <c r="K22" s="57"/>
      <c r="L22" s="57"/>
      <c r="M22" s="57"/>
      <c r="N22" s="57"/>
      <c r="O22" s="731"/>
    </row>
    <row r="23" spans="1:19" x14ac:dyDescent="0.3">
      <c r="A23" s="1040">
        <v>60</v>
      </c>
      <c r="B23" s="1019" t="s">
        <v>515</v>
      </c>
      <c r="C23" s="1019" t="s">
        <v>521</v>
      </c>
      <c r="D23" s="1020">
        <v>0.13</v>
      </c>
      <c r="E23" s="1018" t="s">
        <v>522</v>
      </c>
      <c r="F23" s="1018">
        <v>1</v>
      </c>
      <c r="G23" s="1018"/>
      <c r="H23" s="1018">
        <v>1</v>
      </c>
      <c r="I23" s="1059">
        <f t="shared" si="0"/>
        <v>0.13</v>
      </c>
      <c r="J23" s="57"/>
      <c r="K23" s="57"/>
      <c r="L23" s="57"/>
      <c r="M23" s="57"/>
      <c r="N23" s="57"/>
      <c r="O23" s="734"/>
    </row>
    <row r="24" spans="1:19" s="25" customFormat="1" x14ac:dyDescent="0.3">
      <c r="A24" s="1046">
        <v>70</v>
      </c>
      <c r="B24" s="1019" t="s">
        <v>366</v>
      </c>
      <c r="C24" s="1019" t="s">
        <v>576</v>
      </c>
      <c r="D24" s="1020">
        <v>0.75</v>
      </c>
      <c r="E24" s="1018" t="s">
        <v>35</v>
      </c>
      <c r="F24" s="1018">
        <v>1</v>
      </c>
      <c r="G24" s="1018"/>
      <c r="H24" s="1018">
        <v>1</v>
      </c>
      <c r="I24" s="1059">
        <f t="shared" si="0"/>
        <v>0.75</v>
      </c>
      <c r="J24" s="57"/>
      <c r="K24" s="57"/>
      <c r="L24" s="57"/>
      <c r="M24" s="57"/>
      <c r="N24" s="57"/>
      <c r="O24" s="731"/>
    </row>
    <row r="25" spans="1:19" x14ac:dyDescent="0.3">
      <c r="A25" s="1040">
        <v>80</v>
      </c>
      <c r="B25" s="1060" t="s">
        <v>520</v>
      </c>
      <c r="C25" s="1019" t="s">
        <v>576</v>
      </c>
      <c r="D25" s="1061">
        <v>0.25</v>
      </c>
      <c r="E25" s="1022" t="s">
        <v>32</v>
      </c>
      <c r="F25" s="1022">
        <v>1</v>
      </c>
      <c r="G25" s="1018"/>
      <c r="H25" s="1018">
        <v>1</v>
      </c>
      <c r="I25" s="1059">
        <f t="shared" si="0"/>
        <v>0.25</v>
      </c>
      <c r="J25" s="57"/>
      <c r="K25" s="57"/>
      <c r="L25" s="57"/>
      <c r="M25" s="57"/>
      <c r="N25" s="57"/>
      <c r="O25" s="731"/>
    </row>
    <row r="26" spans="1:19" x14ac:dyDescent="0.3">
      <c r="A26" s="1046">
        <v>90</v>
      </c>
      <c r="B26" s="1019" t="s">
        <v>523</v>
      </c>
      <c r="C26" s="1019" t="s">
        <v>524</v>
      </c>
      <c r="D26" s="1023">
        <v>0.63</v>
      </c>
      <c r="E26" s="1018" t="s">
        <v>35</v>
      </c>
      <c r="F26" s="1018">
        <v>1</v>
      </c>
      <c r="G26" s="1018"/>
      <c r="H26" s="1018">
        <v>1</v>
      </c>
      <c r="I26" s="1059">
        <f t="shared" si="0"/>
        <v>0.63</v>
      </c>
      <c r="J26" s="56"/>
      <c r="K26" s="56"/>
      <c r="L26" s="56"/>
      <c r="M26" s="56"/>
      <c r="N26" s="56"/>
      <c r="O26" s="270"/>
    </row>
    <row r="27" spans="1:19" s="17" customFormat="1" x14ac:dyDescent="0.3">
      <c r="A27" s="1040">
        <v>100</v>
      </c>
      <c r="B27" s="1019" t="s">
        <v>366</v>
      </c>
      <c r="C27" s="1019" t="s">
        <v>525</v>
      </c>
      <c r="D27" s="1020">
        <v>0.75</v>
      </c>
      <c r="E27" s="1018" t="s">
        <v>32</v>
      </c>
      <c r="F27" s="1018">
        <v>2</v>
      </c>
      <c r="G27" s="1018"/>
      <c r="H27" s="1018">
        <v>1</v>
      </c>
      <c r="I27" s="1020">
        <f t="shared" ref="I27" si="1">D27*F27*H27</f>
        <v>1.5</v>
      </c>
      <c r="J27" s="643"/>
      <c r="K27" s="643"/>
      <c r="L27" s="643"/>
      <c r="M27" s="643"/>
      <c r="N27" s="643"/>
      <c r="O27" s="1047"/>
      <c r="P27" s="643"/>
      <c r="Q27" s="643"/>
      <c r="R27" s="643"/>
      <c r="S27" s="643"/>
    </row>
    <row r="28" spans="1:19" s="25" customFormat="1" x14ac:dyDescent="0.3">
      <c r="A28" s="1040">
        <v>110</v>
      </c>
      <c r="B28" s="1019" t="s">
        <v>520</v>
      </c>
      <c r="C28" s="1019" t="s">
        <v>525</v>
      </c>
      <c r="D28" s="1020">
        <v>0.25</v>
      </c>
      <c r="E28" s="1018" t="s">
        <v>32</v>
      </c>
      <c r="F28" s="1018">
        <v>2</v>
      </c>
      <c r="G28" s="1018"/>
      <c r="H28" s="1018">
        <v>1</v>
      </c>
      <c r="I28" s="1020">
        <f>D28*F28*H28</f>
        <v>0.5</v>
      </c>
      <c r="J28" s="643"/>
      <c r="K28" s="643"/>
      <c r="L28" s="643"/>
      <c r="M28" s="643"/>
      <c r="N28" s="643"/>
      <c r="O28" s="1047"/>
      <c r="P28" s="643"/>
      <c r="Q28" s="643"/>
      <c r="R28" s="643"/>
      <c r="S28" s="643"/>
    </row>
    <row r="29" spans="1:19" s="17" customFormat="1" ht="43.2" x14ac:dyDescent="0.3">
      <c r="A29" s="1040">
        <v>120</v>
      </c>
      <c r="B29" s="282" t="s">
        <v>526</v>
      </c>
      <c r="C29" s="1018" t="s">
        <v>527</v>
      </c>
      <c r="D29" s="1024">
        <v>8.75</v>
      </c>
      <c r="E29" s="1018" t="s">
        <v>32</v>
      </c>
      <c r="F29" s="1018">
        <v>1</v>
      </c>
      <c r="G29" s="1018"/>
      <c r="H29" s="1018">
        <v>1</v>
      </c>
      <c r="I29" s="1024">
        <f>D29*F29*H29</f>
        <v>8.75</v>
      </c>
      <c r="J29" s="643"/>
      <c r="K29" s="643"/>
      <c r="L29" s="643"/>
      <c r="M29" s="643"/>
      <c r="N29" s="643"/>
      <c r="O29" s="1047"/>
      <c r="P29" s="643"/>
      <c r="Q29" s="643"/>
      <c r="R29" s="643"/>
      <c r="S29" s="643"/>
    </row>
    <row r="30" spans="1:19" x14ac:dyDescent="0.3">
      <c r="A30" s="730"/>
      <c r="B30" s="24"/>
      <c r="C30" s="24"/>
      <c r="D30" s="24"/>
      <c r="E30" s="24"/>
      <c r="F30" s="24"/>
      <c r="G30" s="24"/>
      <c r="H30" s="101" t="s">
        <v>18</v>
      </c>
      <c r="I30" s="1004">
        <f>SUM(I18:I29)</f>
        <v>16.329999999999998</v>
      </c>
      <c r="J30" s="56"/>
      <c r="K30" s="56"/>
      <c r="L30" s="56"/>
      <c r="M30" s="56"/>
      <c r="N30" s="56"/>
      <c r="O30" s="270"/>
      <c r="P30" s="17"/>
      <c r="Q30" s="17"/>
      <c r="R30" s="17"/>
      <c r="S30" s="17"/>
    </row>
    <row r="31" spans="1:19" x14ac:dyDescent="0.3">
      <c r="A31" s="716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70"/>
      <c r="P31" s="25"/>
      <c r="Q31" s="25"/>
      <c r="R31" s="25"/>
      <c r="S31" s="25"/>
    </row>
    <row r="32" spans="1:19" x14ac:dyDescent="0.3">
      <c r="A32" s="1044" t="s">
        <v>14</v>
      </c>
      <c r="B32" s="1000" t="s">
        <v>36</v>
      </c>
      <c r="C32" s="1000" t="s">
        <v>20</v>
      </c>
      <c r="D32" s="1000" t="s">
        <v>21</v>
      </c>
      <c r="E32" s="1000" t="s">
        <v>22</v>
      </c>
      <c r="F32" s="1000" t="s">
        <v>23</v>
      </c>
      <c r="G32" s="1000" t="s">
        <v>24</v>
      </c>
      <c r="H32" s="1000" t="s">
        <v>25</v>
      </c>
      <c r="I32" s="1000" t="s">
        <v>17</v>
      </c>
      <c r="J32" s="1000" t="s">
        <v>18</v>
      </c>
      <c r="K32" s="56"/>
      <c r="L32" s="56"/>
      <c r="M32" s="56"/>
      <c r="N32" s="56"/>
      <c r="O32" s="270"/>
      <c r="P32" s="17"/>
      <c r="Q32" s="17"/>
      <c r="R32" s="17"/>
      <c r="S32" s="17"/>
    </row>
    <row r="33" spans="1:15" x14ac:dyDescent="0.3">
      <c r="A33" s="1035">
        <v>10</v>
      </c>
      <c r="B33" s="777" t="s">
        <v>528</v>
      </c>
      <c r="C33" s="1007" t="s">
        <v>529</v>
      </c>
      <c r="D33" s="278">
        <f>1.25/105154*E33^2*G33*SQRT(G33)+(0.005*EXP(0.319*E33))</f>
        <v>1.0655214295627982</v>
      </c>
      <c r="E33" s="1007">
        <v>12</v>
      </c>
      <c r="F33" s="1056" t="s">
        <v>30</v>
      </c>
      <c r="G33" s="1007">
        <v>62</v>
      </c>
      <c r="H33" s="667" t="s">
        <v>30</v>
      </c>
      <c r="I33" s="1057">
        <v>4</v>
      </c>
      <c r="J33" s="278">
        <f>D33*I33</f>
        <v>4.2620857182511926</v>
      </c>
      <c r="K33" s="56"/>
      <c r="L33" s="56"/>
      <c r="M33" s="56"/>
      <c r="N33" s="56"/>
      <c r="O33" s="270"/>
    </row>
    <row r="34" spans="1:15" x14ac:dyDescent="0.3">
      <c r="A34" s="730"/>
      <c r="B34" s="24"/>
      <c r="C34" s="24"/>
      <c r="D34" s="24"/>
      <c r="E34" s="24"/>
      <c r="F34" s="24"/>
      <c r="G34" s="24"/>
      <c r="H34" s="24"/>
      <c r="I34" s="101" t="s">
        <v>18</v>
      </c>
      <c r="J34" s="1004">
        <f>SUM(J33:J33)</f>
        <v>4.2620857182511926</v>
      </c>
      <c r="K34" s="56"/>
      <c r="L34" s="56"/>
      <c r="M34" s="56"/>
      <c r="N34" s="56"/>
      <c r="O34" s="270"/>
    </row>
    <row r="35" spans="1:15" x14ac:dyDescent="0.3">
      <c r="A35" s="716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56"/>
      <c r="N35" s="56"/>
      <c r="O35" s="270"/>
    </row>
    <row r="36" spans="1:15" ht="15" thickBot="1" x14ac:dyDescent="0.35">
      <c r="A36" s="290"/>
      <c r="B36" s="291"/>
      <c r="C36" s="291"/>
      <c r="D36" s="291"/>
      <c r="E36" s="291"/>
      <c r="F36" s="291"/>
      <c r="G36" s="291"/>
      <c r="H36" s="291"/>
      <c r="I36" s="291"/>
      <c r="J36" s="291"/>
      <c r="K36" s="291"/>
      <c r="L36" s="291"/>
      <c r="M36" s="291"/>
      <c r="N36" s="291"/>
      <c r="O36" s="292"/>
    </row>
    <row r="37" spans="1:15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</row>
  </sheetData>
  <hyperlinks>
    <hyperlink ref="B10" location="SU_11001" display="SU_11001"/>
    <hyperlink ref="B12" location="SU_11003" display="Speed Sensor Brakcet"/>
    <hyperlink ref="B13" location="SU_11004" display="Camber adjustment shim"/>
    <hyperlink ref="B11" location="SU_11002" display="Upper Arm Bracket"/>
    <hyperlink ref="E2" location="SU_A1100_BOM" display="Back to BOM"/>
  </hyperlinks>
  <pageMargins left="0.70866141732283472" right="0.70866141732283472" top="0.74803149606299213" bottom="0.74803149606299213" header="0.31496062992125984" footer="0.31496062992125984"/>
  <pageSetup paperSize="9" scale="73" firstPageNumber="0" fitToHeight="99" orientation="landscape"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4"/>
  <sheetViews>
    <sheetView view="pageLayout" zoomScale="70" zoomScaleNormal="10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9.5546875" customWidth="1"/>
    <col min="3" max="3" width="20.21875" customWidth="1"/>
    <col min="7" max="7" width="18.33203125" customWidth="1"/>
    <col min="9" max="9" width="9" customWidth="1"/>
    <col min="14" max="14" width="12.5546875" bestFit="1" customWidth="1"/>
    <col min="15" max="15" width="3.109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30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SU_11001_m+SU_11001_p</f>
        <v>106.51997000000001</v>
      </c>
      <c r="O2" s="270"/>
    </row>
    <row r="3" spans="1:15" x14ac:dyDescent="0.3">
      <c r="A3" s="1030" t="s">
        <v>3</v>
      </c>
      <c r="B3" s="16" t="str">
        <f>'SU A1100 '!B3</f>
        <v>Wheels &amp; Tires</v>
      </c>
      <c r="C3" s="56"/>
      <c r="D3" s="1008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270"/>
    </row>
    <row r="4" spans="1:15" x14ac:dyDescent="0.3">
      <c r="A4" s="1030" t="s">
        <v>5</v>
      </c>
      <c r="B4" s="277" t="str">
        <f>'SU A1100 '!B4</f>
        <v>Rear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270"/>
    </row>
    <row r="5" spans="1:15" x14ac:dyDescent="0.3">
      <c r="A5" s="1030" t="s">
        <v>15</v>
      </c>
      <c r="B5" s="18" t="s">
        <v>577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106.51997000000001</v>
      </c>
      <c r="O5" s="270"/>
    </row>
    <row r="6" spans="1:15" x14ac:dyDescent="0.3">
      <c r="A6" s="1030" t="s">
        <v>7</v>
      </c>
      <c r="B6" s="28" t="s">
        <v>578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270"/>
    </row>
    <row r="7" spans="1:15" x14ac:dyDescent="0.3">
      <c r="A7" s="1030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1030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1031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1032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270"/>
    </row>
    <row r="11" spans="1:15" s="22" customFormat="1" x14ac:dyDescent="0.3">
      <c r="A11" s="1033">
        <v>10</v>
      </c>
      <c r="B11" s="676" t="s">
        <v>533</v>
      </c>
      <c r="C11" s="20"/>
      <c r="D11" s="283">
        <v>4.2</v>
      </c>
      <c r="E11" s="1014">
        <f>J11*K11*L11</f>
        <v>6.1528499999999999</v>
      </c>
      <c r="F11" s="20" t="s">
        <v>212</v>
      </c>
      <c r="G11" s="20"/>
      <c r="H11" s="284"/>
      <c r="I11" s="21" t="s">
        <v>534</v>
      </c>
      <c r="J11" s="1015">
        <f>(165*275*10^-6)</f>
        <v>4.5374999999999999E-2</v>
      </c>
      <c r="K11" s="679">
        <v>0.05</v>
      </c>
      <c r="L11" s="680">
        <v>2712</v>
      </c>
      <c r="M11" s="23">
        <v>1</v>
      </c>
      <c r="N11" s="283">
        <f>D11*E11</f>
        <v>25.84197</v>
      </c>
      <c r="O11" s="729"/>
    </row>
    <row r="12" spans="1:15" x14ac:dyDescent="0.3">
      <c r="A12" s="730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25.84197</v>
      </c>
      <c r="O12" s="270"/>
    </row>
    <row r="13" spans="1:15" x14ac:dyDescent="0.3">
      <c r="A13" s="71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0"/>
    </row>
    <row r="14" spans="1:15" x14ac:dyDescent="0.3">
      <c r="A14" s="1034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270"/>
    </row>
    <row r="15" spans="1:15" s="25" customFormat="1" ht="28.8" x14ac:dyDescent="0.3">
      <c r="A15" s="1040">
        <v>10</v>
      </c>
      <c r="B15" s="1019" t="s">
        <v>535</v>
      </c>
      <c r="C15" s="1019" t="s">
        <v>536</v>
      </c>
      <c r="D15" s="1041">
        <v>1.3</v>
      </c>
      <c r="E15" s="1018" t="s">
        <v>32</v>
      </c>
      <c r="F15" s="1018">
        <v>1</v>
      </c>
      <c r="G15" s="1018"/>
      <c r="H15" s="1018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31"/>
    </row>
    <row r="16" spans="1:15" ht="28.8" x14ac:dyDescent="0.3">
      <c r="A16" s="1040">
        <v>20</v>
      </c>
      <c r="B16" s="1019" t="s">
        <v>159</v>
      </c>
      <c r="C16" s="1019" t="s">
        <v>579</v>
      </c>
      <c r="D16" s="1041">
        <v>0.04</v>
      </c>
      <c r="E16" s="1018" t="s">
        <v>161</v>
      </c>
      <c r="F16" s="1018">
        <v>350</v>
      </c>
      <c r="G16" s="1018" t="s">
        <v>264</v>
      </c>
      <c r="H16" s="1018">
        <v>1</v>
      </c>
      <c r="I16" s="32">
        <f t="shared" si="0"/>
        <v>14</v>
      </c>
      <c r="J16" s="56"/>
      <c r="K16" s="56"/>
      <c r="L16" s="56"/>
      <c r="M16" s="56"/>
      <c r="N16" s="56"/>
      <c r="O16" s="270"/>
    </row>
    <row r="17" spans="1:15" s="17" customFormat="1" ht="28.8" x14ac:dyDescent="0.3">
      <c r="A17" s="1040">
        <v>30</v>
      </c>
      <c r="B17" s="1019" t="s">
        <v>158</v>
      </c>
      <c r="C17" s="1019" t="s">
        <v>538</v>
      </c>
      <c r="D17" s="1041">
        <v>0.65</v>
      </c>
      <c r="E17" s="1018" t="s">
        <v>32</v>
      </c>
      <c r="F17" s="1018">
        <v>1</v>
      </c>
      <c r="G17" s="1018"/>
      <c r="H17" s="1018">
        <v>1</v>
      </c>
      <c r="I17" s="32">
        <f t="shared" si="0"/>
        <v>0.65</v>
      </c>
      <c r="J17" s="57"/>
      <c r="K17" s="57"/>
      <c r="L17" s="57"/>
      <c r="M17" s="57"/>
      <c r="N17" s="57"/>
      <c r="O17" s="734"/>
    </row>
    <row r="18" spans="1:15" s="17" customFormat="1" x14ac:dyDescent="0.3">
      <c r="A18" s="1040">
        <v>40</v>
      </c>
      <c r="B18" s="1019" t="s">
        <v>159</v>
      </c>
      <c r="C18" s="1019" t="s">
        <v>580</v>
      </c>
      <c r="D18" s="1041">
        <v>0.04</v>
      </c>
      <c r="E18" s="1018" t="s">
        <v>161</v>
      </c>
      <c r="F18" s="1018">
        <v>1285</v>
      </c>
      <c r="G18" s="1018" t="s">
        <v>264</v>
      </c>
      <c r="H18" s="1018">
        <v>1</v>
      </c>
      <c r="I18" s="32">
        <f t="shared" si="0"/>
        <v>51.4</v>
      </c>
      <c r="J18" s="57"/>
      <c r="K18" s="57"/>
      <c r="L18" s="57"/>
      <c r="M18" s="57"/>
      <c r="N18" s="57"/>
      <c r="O18" s="734"/>
    </row>
    <row r="19" spans="1:15" s="17" customFormat="1" ht="28.8" x14ac:dyDescent="0.3">
      <c r="A19" s="1040">
        <v>50</v>
      </c>
      <c r="B19" s="1019" t="s">
        <v>158</v>
      </c>
      <c r="C19" s="1019"/>
      <c r="D19" s="1041">
        <v>0.65</v>
      </c>
      <c r="E19" s="1018" t="s">
        <v>32</v>
      </c>
      <c r="F19" s="1018">
        <v>1</v>
      </c>
      <c r="G19" s="1018"/>
      <c r="H19" s="1018">
        <v>1</v>
      </c>
      <c r="I19" s="32">
        <f t="shared" si="0"/>
        <v>0.65</v>
      </c>
      <c r="J19" s="57"/>
      <c r="K19" s="57"/>
      <c r="L19" s="57"/>
      <c r="M19" s="57"/>
      <c r="N19" s="57"/>
      <c r="O19" s="734"/>
    </row>
    <row r="20" spans="1:15" s="17" customFormat="1" ht="28.8" x14ac:dyDescent="0.3">
      <c r="A20" s="1040">
        <v>60</v>
      </c>
      <c r="B20" s="1019" t="s">
        <v>159</v>
      </c>
      <c r="C20" s="1019" t="s">
        <v>581</v>
      </c>
      <c r="D20" s="1041">
        <v>0.04</v>
      </c>
      <c r="E20" s="1018" t="s">
        <v>161</v>
      </c>
      <c r="F20" s="1018">
        <v>227</v>
      </c>
      <c r="G20" s="1018" t="s">
        <v>264</v>
      </c>
      <c r="H20" s="1018">
        <v>1</v>
      </c>
      <c r="I20" s="32">
        <f t="shared" si="0"/>
        <v>9.08</v>
      </c>
      <c r="J20" s="57"/>
      <c r="K20" s="57"/>
      <c r="L20" s="57"/>
      <c r="M20" s="57"/>
      <c r="N20" s="57"/>
      <c r="O20" s="734"/>
    </row>
    <row r="21" spans="1:15" s="17" customFormat="1" ht="28.8" x14ac:dyDescent="0.3">
      <c r="A21" s="1040">
        <v>70</v>
      </c>
      <c r="B21" s="1019" t="s">
        <v>158</v>
      </c>
      <c r="C21" s="1019"/>
      <c r="D21" s="1041">
        <v>0.65</v>
      </c>
      <c r="E21" s="1018" t="s">
        <v>32</v>
      </c>
      <c r="F21" s="1018">
        <v>1</v>
      </c>
      <c r="G21" s="1018"/>
      <c r="H21" s="1018">
        <v>1</v>
      </c>
      <c r="I21" s="32">
        <f t="shared" si="0"/>
        <v>0.65</v>
      </c>
      <c r="J21" s="57"/>
      <c r="K21" s="57"/>
      <c r="L21" s="57"/>
      <c r="M21" s="57"/>
      <c r="N21" s="57"/>
      <c r="O21" s="734"/>
    </row>
    <row r="22" spans="1:15" ht="28.8" x14ac:dyDescent="0.3">
      <c r="A22" s="1040">
        <v>80</v>
      </c>
      <c r="B22" s="1019" t="s">
        <v>159</v>
      </c>
      <c r="C22" s="1019" t="s">
        <v>582</v>
      </c>
      <c r="D22" s="1041">
        <v>0.04</v>
      </c>
      <c r="E22" s="1018" t="s">
        <v>161</v>
      </c>
      <c r="F22" s="1018">
        <v>1.2</v>
      </c>
      <c r="G22" s="1018" t="s">
        <v>264</v>
      </c>
      <c r="H22" s="1018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70"/>
    </row>
    <row r="23" spans="1:15" ht="28.8" x14ac:dyDescent="0.3">
      <c r="A23" s="1040">
        <v>90</v>
      </c>
      <c r="B23" s="1019" t="s">
        <v>158</v>
      </c>
      <c r="C23" s="1019"/>
      <c r="D23" s="1041">
        <v>0.65</v>
      </c>
      <c r="E23" s="1018" t="s">
        <v>32</v>
      </c>
      <c r="F23" s="1018">
        <v>1</v>
      </c>
      <c r="G23" s="1018"/>
      <c r="H23" s="1018">
        <v>1</v>
      </c>
      <c r="I23" s="32">
        <f t="shared" si="0"/>
        <v>0.65</v>
      </c>
      <c r="J23" s="56"/>
      <c r="K23" s="56"/>
      <c r="L23" s="56"/>
      <c r="M23" s="56"/>
      <c r="N23" s="56"/>
      <c r="O23" s="270"/>
    </row>
    <row r="24" spans="1:15" x14ac:dyDescent="0.3">
      <c r="A24" s="1040">
        <v>100</v>
      </c>
      <c r="B24" s="1019" t="s">
        <v>159</v>
      </c>
      <c r="C24" s="1019" t="s">
        <v>542</v>
      </c>
      <c r="D24" s="1041">
        <v>0.04</v>
      </c>
      <c r="E24" s="1018" t="s">
        <v>161</v>
      </c>
      <c r="F24" s="1018">
        <v>24</v>
      </c>
      <c r="G24" s="1018" t="s">
        <v>264</v>
      </c>
      <c r="H24" s="1018">
        <v>1</v>
      </c>
      <c r="I24" s="32">
        <f t="shared" si="0"/>
        <v>0.96</v>
      </c>
      <c r="J24" s="56"/>
      <c r="K24" s="56"/>
      <c r="L24" s="56"/>
      <c r="M24" s="56"/>
      <c r="N24" s="56"/>
      <c r="O24" s="270"/>
    </row>
    <row r="25" spans="1:15" ht="28.8" x14ac:dyDescent="0.3">
      <c r="A25" s="1040">
        <v>110</v>
      </c>
      <c r="B25" s="1019" t="s">
        <v>158</v>
      </c>
      <c r="C25" s="1019"/>
      <c r="D25" s="1041">
        <v>0.65</v>
      </c>
      <c r="E25" s="1018" t="s">
        <v>32</v>
      </c>
      <c r="F25" s="1018">
        <v>1</v>
      </c>
      <c r="G25" s="1018"/>
      <c r="H25" s="1018">
        <v>1</v>
      </c>
      <c r="I25" s="32">
        <f t="shared" si="0"/>
        <v>0.65</v>
      </c>
      <c r="J25" s="56"/>
      <c r="K25" s="56"/>
      <c r="L25" s="56"/>
      <c r="M25" s="56"/>
      <c r="N25" s="56"/>
      <c r="O25" s="270"/>
    </row>
    <row r="26" spans="1:15" x14ac:dyDescent="0.3">
      <c r="A26" s="1040">
        <v>120</v>
      </c>
      <c r="B26" s="1019" t="s">
        <v>159</v>
      </c>
      <c r="C26" s="1019" t="s">
        <v>543</v>
      </c>
      <c r="D26" s="1041">
        <v>0.04</v>
      </c>
      <c r="E26" s="1018" t="s">
        <v>161</v>
      </c>
      <c r="F26" s="1018">
        <v>16</v>
      </c>
      <c r="G26" s="1018" t="s">
        <v>264</v>
      </c>
      <c r="H26" s="1018">
        <v>1</v>
      </c>
      <c r="I26" s="32">
        <f t="shared" si="0"/>
        <v>0.64</v>
      </c>
      <c r="J26" s="56"/>
      <c r="K26" s="56"/>
      <c r="L26" s="56"/>
      <c r="M26" s="56"/>
      <c r="N26" s="56"/>
      <c r="O26" s="270"/>
    </row>
    <row r="27" spans="1:15" ht="28.8" x14ac:dyDescent="0.3">
      <c r="A27" s="1040">
        <v>130</v>
      </c>
      <c r="B27" s="1055" t="s">
        <v>381</v>
      </c>
      <c r="C27" s="1019" t="s">
        <v>583</v>
      </c>
      <c r="D27" s="1041">
        <v>0.35</v>
      </c>
      <c r="E27" s="1018" t="s">
        <v>584</v>
      </c>
      <c r="F27" s="1018">
        <v>1</v>
      </c>
      <c r="G27" s="1018" t="s">
        <v>264</v>
      </c>
      <c r="H27" s="1018">
        <v>1</v>
      </c>
      <c r="I27" s="1062">
        <f t="shared" si="0"/>
        <v>0.35</v>
      </c>
      <c r="J27" s="56"/>
      <c r="K27" s="56"/>
      <c r="L27" s="56"/>
      <c r="M27" s="56"/>
      <c r="N27" s="56"/>
      <c r="O27" s="270"/>
    </row>
    <row r="28" spans="1:15" x14ac:dyDescent="0.3">
      <c r="A28" s="730"/>
      <c r="B28" s="24"/>
      <c r="C28" s="24"/>
      <c r="D28" s="24"/>
      <c r="E28" s="24"/>
      <c r="F28" s="24"/>
      <c r="G28" s="24"/>
      <c r="H28" s="111" t="s">
        <v>18</v>
      </c>
      <c r="I28" s="1016">
        <f>SUM(I15:I26)</f>
        <v>80.678000000000011</v>
      </c>
      <c r="J28" s="56"/>
      <c r="K28" s="56"/>
      <c r="L28" s="56"/>
      <c r="M28" s="56"/>
      <c r="N28" s="56"/>
      <c r="O28" s="270"/>
    </row>
    <row r="29" spans="1:15" x14ac:dyDescent="0.3">
      <c r="A29" s="716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70"/>
    </row>
    <row r="30" spans="1:15" x14ac:dyDescent="0.3">
      <c r="A30" s="716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0"/>
    </row>
    <row r="31" spans="1:15" x14ac:dyDescent="0.3">
      <c r="A31" s="716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70"/>
    </row>
    <row r="32" spans="1:15" x14ac:dyDescent="0.3">
      <c r="A32" s="716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70"/>
    </row>
    <row r="33" spans="1:15" x14ac:dyDescent="0.3">
      <c r="A33" s="716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70"/>
    </row>
    <row r="34" spans="1:15" ht="15" thickBot="1" x14ac:dyDescent="0.35">
      <c r="A34" s="290"/>
      <c r="B34" s="291"/>
      <c r="C34" s="291"/>
      <c r="D34" s="291"/>
      <c r="E34" s="291"/>
      <c r="F34" s="291"/>
      <c r="G34" s="291"/>
      <c r="H34" s="291"/>
      <c r="I34" s="291"/>
      <c r="J34" s="291"/>
      <c r="K34" s="291"/>
      <c r="L34" s="291"/>
      <c r="M34" s="291"/>
      <c r="N34" s="291"/>
      <c r="O34" s="292"/>
    </row>
  </sheetData>
  <hyperlinks>
    <hyperlink ref="E3" location="dSU_11001" display="Drawing"/>
    <hyperlink ref="B4" location="SU_A1100" display="SU_A1100"/>
    <hyperlink ref="G2" location="SU_A1100_BOM" display="Back to BOM"/>
  </hyperlinks>
  <pageMargins left="0.70866141732283472" right="0.70866141732283472" top="0.74803149606299213" bottom="0.74803149606299213" header="0.31496062992125984" footer="0.31496062992125984"/>
  <pageSetup paperSize="9" scale="79" firstPageNumber="0" fitToHeight="99" orientation="landscape" r:id="rId1"/>
  <rowBreaks count="2" manualBreakCount="2">
    <brk id="27" max="16383" man="1"/>
    <brk id="65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591</v>
      </c>
    </row>
  </sheetData>
  <hyperlinks>
    <hyperlink ref="B1" location="SU_11001" display="SU_11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5"/>
  <sheetViews>
    <sheetView view="pageLayout" zoomScale="70" zoomScaleNormal="10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2.88671875" customWidth="1"/>
    <col min="3" max="3" width="25.33203125" customWidth="1"/>
    <col min="7" max="7" width="14.44140625" customWidth="1"/>
    <col min="9" max="9" width="14.21875" customWidth="1"/>
    <col min="14" max="14" width="12.5546875" bestFit="1" customWidth="1"/>
    <col min="15" max="15" width="3.109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30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SU_11002_m+SU_11002_p</f>
        <v>21.194420000000001</v>
      </c>
      <c r="O2" s="270"/>
    </row>
    <row r="3" spans="1:15" x14ac:dyDescent="0.3">
      <c r="A3" s="1030" t="s">
        <v>3</v>
      </c>
      <c r="B3" s="16" t="str">
        <f>'SU A1100 '!B3</f>
        <v>Wheels &amp; Tires</v>
      </c>
      <c r="C3" s="56"/>
      <c r="D3" s="1008" t="s">
        <v>6</v>
      </c>
      <c r="E3" s="277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270"/>
    </row>
    <row r="4" spans="1:15" x14ac:dyDescent="0.3">
      <c r="A4" s="1030" t="s">
        <v>5</v>
      </c>
      <c r="B4" s="277" t="str">
        <f>'SU A1100 '!B4</f>
        <v>Rear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270"/>
    </row>
    <row r="5" spans="1:15" x14ac:dyDescent="0.3">
      <c r="A5" s="1030" t="s">
        <v>15</v>
      </c>
      <c r="B5" s="18" t="s">
        <v>510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21.194420000000001</v>
      </c>
      <c r="O5" s="270"/>
    </row>
    <row r="6" spans="1:15" x14ac:dyDescent="0.3">
      <c r="A6" s="1030" t="s">
        <v>7</v>
      </c>
      <c r="B6" s="28" t="s">
        <v>585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270"/>
    </row>
    <row r="7" spans="1:15" x14ac:dyDescent="0.3">
      <c r="A7" s="1030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1030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1031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1032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270"/>
    </row>
    <row r="11" spans="1:15" s="22" customFormat="1" ht="28.8" x14ac:dyDescent="0.3">
      <c r="A11" s="1036">
        <v>10</v>
      </c>
      <c r="B11" s="981" t="s">
        <v>554</v>
      </c>
      <c r="C11" s="982"/>
      <c r="D11" s="32">
        <v>2.25</v>
      </c>
      <c r="E11" s="1037">
        <f>J11*K11*L11</f>
        <v>1.4695199999999999</v>
      </c>
      <c r="F11" s="982" t="s">
        <v>212</v>
      </c>
      <c r="G11" s="982"/>
      <c r="H11" s="984"/>
      <c r="I11" s="841" t="s">
        <v>555</v>
      </c>
      <c r="J11" s="1038">
        <f>0.05*0.072</f>
        <v>3.5999999999999999E-3</v>
      </c>
      <c r="K11" s="1039">
        <v>5.1999999999999998E-2</v>
      </c>
      <c r="L11" s="994">
        <v>7850</v>
      </c>
      <c r="M11" s="995">
        <v>1</v>
      </c>
      <c r="N11" s="32">
        <f>D11*E11</f>
        <v>3.3064199999999997</v>
      </c>
      <c r="O11" s="729"/>
    </row>
    <row r="12" spans="1:15" x14ac:dyDescent="0.3">
      <c r="A12" s="730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3.3064199999999997</v>
      </c>
      <c r="O12" s="270"/>
    </row>
    <row r="13" spans="1:15" x14ac:dyDescent="0.3">
      <c r="A13" s="71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0"/>
    </row>
    <row r="14" spans="1:15" x14ac:dyDescent="0.3">
      <c r="A14" s="1034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270"/>
    </row>
    <row r="15" spans="1:15" s="25" customFormat="1" ht="28.8" x14ac:dyDescent="0.3">
      <c r="A15" s="1040">
        <v>10</v>
      </c>
      <c r="B15" s="1019" t="s">
        <v>535</v>
      </c>
      <c r="C15" s="1019" t="s">
        <v>536</v>
      </c>
      <c r="D15" s="1041">
        <v>1.3</v>
      </c>
      <c r="E15" s="1018" t="s">
        <v>32</v>
      </c>
      <c r="F15" s="1018">
        <v>1</v>
      </c>
      <c r="G15" s="1018"/>
      <c r="H15" s="1018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1"/>
    </row>
    <row r="16" spans="1:15" x14ac:dyDescent="0.3">
      <c r="A16" s="1040">
        <v>20</v>
      </c>
      <c r="B16" s="1019" t="s">
        <v>159</v>
      </c>
      <c r="C16" s="1019" t="s">
        <v>556</v>
      </c>
      <c r="D16" s="1041">
        <v>0.04</v>
      </c>
      <c r="E16" s="1018" t="s">
        <v>161</v>
      </c>
      <c r="F16" s="1018">
        <v>102</v>
      </c>
      <c r="G16" s="1018" t="s">
        <v>413</v>
      </c>
      <c r="H16" s="1018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70"/>
    </row>
    <row r="17" spans="1:15" s="17" customFormat="1" x14ac:dyDescent="0.3">
      <c r="A17" s="1040">
        <v>30</v>
      </c>
      <c r="B17" s="1019" t="s">
        <v>158</v>
      </c>
      <c r="C17" s="1019" t="s">
        <v>538</v>
      </c>
      <c r="D17" s="1041">
        <v>0.65</v>
      </c>
      <c r="E17" s="1018" t="s">
        <v>32</v>
      </c>
      <c r="F17" s="1018">
        <v>1</v>
      </c>
      <c r="G17" s="1018"/>
      <c r="H17" s="1018">
        <v>1</v>
      </c>
      <c r="I17" s="32">
        <f t="shared" si="0"/>
        <v>0.65</v>
      </c>
      <c r="J17" s="57"/>
      <c r="K17" s="57"/>
      <c r="L17" s="57"/>
      <c r="M17" s="57"/>
      <c r="N17" s="57"/>
      <c r="O17" s="734"/>
    </row>
    <row r="18" spans="1:15" s="17" customFormat="1" x14ac:dyDescent="0.3">
      <c r="A18" s="1040">
        <v>40</v>
      </c>
      <c r="B18" s="1019" t="s">
        <v>159</v>
      </c>
      <c r="C18" s="1019" t="s">
        <v>557</v>
      </c>
      <c r="D18" s="1041">
        <v>0.04</v>
      </c>
      <c r="E18" s="1018" t="s">
        <v>161</v>
      </c>
      <c r="F18" s="1018">
        <v>25.2</v>
      </c>
      <c r="G18" s="1018" t="s">
        <v>413</v>
      </c>
      <c r="H18" s="1018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34"/>
    </row>
    <row r="19" spans="1:15" s="17" customFormat="1" x14ac:dyDescent="0.3">
      <c r="A19" s="1040">
        <v>50</v>
      </c>
      <c r="B19" s="1019" t="s">
        <v>158</v>
      </c>
      <c r="C19" s="1019" t="s">
        <v>538</v>
      </c>
      <c r="D19" s="1041">
        <v>0.65</v>
      </c>
      <c r="E19" s="1018" t="s">
        <v>32</v>
      </c>
      <c r="F19" s="1018">
        <v>1</v>
      </c>
      <c r="G19" s="1018"/>
      <c r="H19" s="1018">
        <v>1</v>
      </c>
      <c r="I19" s="32">
        <f t="shared" si="0"/>
        <v>0.65</v>
      </c>
      <c r="J19" s="57"/>
      <c r="K19" s="57"/>
      <c r="L19" s="57"/>
      <c r="M19" s="57"/>
      <c r="N19" s="57"/>
      <c r="O19" s="734"/>
    </row>
    <row r="20" spans="1:15" s="17" customFormat="1" x14ac:dyDescent="0.3">
      <c r="A20" s="1040">
        <v>60</v>
      </c>
      <c r="B20" s="1019" t="s">
        <v>159</v>
      </c>
      <c r="C20" s="1019" t="s">
        <v>558</v>
      </c>
      <c r="D20" s="1041">
        <v>0.04</v>
      </c>
      <c r="E20" s="1018" t="s">
        <v>161</v>
      </c>
      <c r="F20" s="1018">
        <v>0.2</v>
      </c>
      <c r="G20" s="1018" t="s">
        <v>413</v>
      </c>
      <c r="H20" s="1018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34"/>
    </row>
    <row r="21" spans="1:15" x14ac:dyDescent="0.3">
      <c r="A21" s="1040">
        <v>70</v>
      </c>
      <c r="B21" s="1019" t="s">
        <v>158</v>
      </c>
      <c r="C21" s="1019" t="s">
        <v>538</v>
      </c>
      <c r="D21" s="1041">
        <v>0.65</v>
      </c>
      <c r="E21" s="1018" t="s">
        <v>32</v>
      </c>
      <c r="F21" s="1018">
        <v>1</v>
      </c>
      <c r="G21" s="1018"/>
      <c r="H21" s="1018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70"/>
    </row>
    <row r="22" spans="1:15" x14ac:dyDescent="0.3">
      <c r="A22" s="1040">
        <v>80</v>
      </c>
      <c r="B22" s="1019" t="s">
        <v>159</v>
      </c>
      <c r="C22" s="1019" t="s">
        <v>559</v>
      </c>
      <c r="D22" s="1041">
        <v>0.04</v>
      </c>
      <c r="E22" s="1018" t="s">
        <v>161</v>
      </c>
      <c r="F22" s="1018">
        <v>3.56</v>
      </c>
      <c r="G22" s="1018" t="s">
        <v>413</v>
      </c>
      <c r="H22" s="1018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70"/>
    </row>
    <row r="23" spans="1:15" x14ac:dyDescent="0.3">
      <c r="A23" s="716"/>
      <c r="B23" s="56"/>
      <c r="C23" s="56"/>
      <c r="D23" s="56"/>
      <c r="E23" s="56"/>
      <c r="F23" s="56"/>
      <c r="G23" s="56"/>
      <c r="H23" s="108" t="s">
        <v>18</v>
      </c>
      <c r="I23" s="1051">
        <f>SUM(I15:I20)</f>
        <v>17.888000000000002</v>
      </c>
      <c r="J23" s="56"/>
      <c r="K23" s="56"/>
      <c r="L23" s="56"/>
      <c r="M23" s="56"/>
      <c r="N23" s="56"/>
      <c r="O23" s="270"/>
    </row>
    <row r="24" spans="1:15" s="56" customFormat="1" x14ac:dyDescent="0.3">
      <c r="A24" s="716"/>
      <c r="O24" s="270"/>
    </row>
    <row r="25" spans="1:15" ht="15" thickBot="1" x14ac:dyDescent="0.35">
      <c r="A25" s="290"/>
      <c r="B25" s="291"/>
      <c r="C25" s="291"/>
      <c r="D25" s="291"/>
      <c r="E25" s="291"/>
      <c r="F25" s="291"/>
      <c r="G25" s="291"/>
      <c r="H25" s="291"/>
      <c r="I25" s="291"/>
      <c r="J25" s="291"/>
      <c r="K25" s="291"/>
      <c r="L25" s="291"/>
      <c r="M25" s="291"/>
      <c r="N25" s="291"/>
      <c r="O25" s="292"/>
    </row>
  </sheetData>
  <hyperlinks>
    <hyperlink ref="E3" location="dSU_11002" display="Drawing"/>
    <hyperlink ref="G2" location="SU_A1100_BOM" display="Back to BOM"/>
    <hyperlink ref="B4" location="SU_A1100" display="SU_A1100"/>
  </hyperlinks>
  <pageMargins left="0.70866141732283472" right="0.70866141732283472" top="0.74803149606299213" bottom="0.74803149606299213" header="0.31496062992125984" footer="0.31496062992125984"/>
  <pageSetup paperSize="9" scale="75" firstPageNumber="0" fitToHeight="99" orientation="landscape" r:id="rId1"/>
  <rowBreaks count="2" manualBreakCount="2">
    <brk id="23" max="16383" man="1"/>
    <brk id="57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1" t="s">
        <v>592</v>
      </c>
    </row>
  </sheetData>
  <hyperlinks>
    <hyperlink ref="B1" location="SU_11002" display="SU_11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10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7.88671875" customWidth="1"/>
    <col min="3" max="3" width="13.44140625" customWidth="1"/>
    <col min="7" max="7" width="10.777343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8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N12+SU_11003_p</f>
        <v>0.82576020000000006</v>
      </c>
      <c r="O2" s="62"/>
    </row>
    <row r="3" spans="1:15" x14ac:dyDescent="0.3">
      <c r="A3" s="1008" t="s">
        <v>3</v>
      </c>
      <c r="B3" s="16" t="str">
        <f>'SU A1100 '!B3</f>
        <v>Wheels &amp; Tires</v>
      </c>
      <c r="C3" s="56"/>
      <c r="D3" s="1008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</v>
      </c>
      <c r="O3" s="62"/>
    </row>
    <row r="4" spans="1:15" x14ac:dyDescent="0.3">
      <c r="A4" s="1008" t="s">
        <v>5</v>
      </c>
      <c r="B4" s="277" t="str">
        <f>'SU A1100 '!B4</f>
        <v>Rear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62"/>
    </row>
    <row r="5" spans="1:15" x14ac:dyDescent="0.3">
      <c r="A5" s="1008" t="s">
        <v>15</v>
      </c>
      <c r="B5" s="18" t="s">
        <v>560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0.82576020000000006</v>
      </c>
      <c r="O5" s="62"/>
    </row>
    <row r="6" spans="1:15" x14ac:dyDescent="0.3">
      <c r="A6" s="1008" t="s">
        <v>7</v>
      </c>
      <c r="B6" s="28" t="s">
        <v>586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62"/>
    </row>
    <row r="7" spans="1:15" x14ac:dyDescent="0.3">
      <c r="A7" s="1008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8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1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62"/>
    </row>
    <row r="11" spans="1:15" s="22" customFormat="1" x14ac:dyDescent="0.3">
      <c r="A11" s="970">
        <v>10</v>
      </c>
      <c r="B11" s="676" t="s">
        <v>375</v>
      </c>
      <c r="C11" s="20"/>
      <c r="D11" s="283">
        <v>2.25</v>
      </c>
      <c r="E11" s="1014">
        <f>J11*K11*L11</f>
        <v>9.6711999999999996E-3</v>
      </c>
      <c r="F11" s="20" t="s">
        <v>212</v>
      </c>
      <c r="G11" s="20"/>
      <c r="H11" s="284"/>
      <c r="I11" s="21" t="s">
        <v>587</v>
      </c>
      <c r="J11" s="1015">
        <f>(22*56*10^(-6))</f>
        <v>1.232E-3</v>
      </c>
      <c r="K11" s="679">
        <v>1E-3</v>
      </c>
      <c r="L11" s="680">
        <v>7850</v>
      </c>
      <c r="M11" s="23">
        <v>1</v>
      </c>
      <c r="N11" s="283">
        <f>D11*E11</f>
        <v>2.17602E-2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2.17602E-2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58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8">
        <v>10</v>
      </c>
      <c r="B15" s="1019" t="s">
        <v>535</v>
      </c>
      <c r="C15" s="1019" t="s">
        <v>549</v>
      </c>
      <c r="D15" s="1041">
        <v>1.3</v>
      </c>
      <c r="E15" s="1018" t="s">
        <v>32</v>
      </c>
      <c r="F15" s="1018">
        <v>1</v>
      </c>
      <c r="G15" s="1018" t="s">
        <v>564</v>
      </c>
      <c r="H15" s="1018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18">
        <v>20</v>
      </c>
      <c r="B16" s="1019" t="s">
        <v>421</v>
      </c>
      <c r="C16" s="1019"/>
      <c r="D16" s="1041">
        <v>0.01</v>
      </c>
      <c r="E16" s="1018" t="s">
        <v>40</v>
      </c>
      <c r="F16" s="1018">
        <v>15.4</v>
      </c>
      <c r="G16" s="675"/>
      <c r="H16" s="1063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3">
      <c r="A17" s="1018">
        <v>30</v>
      </c>
      <c r="B17" s="1019" t="s">
        <v>565</v>
      </c>
      <c r="C17" s="1019"/>
      <c r="D17" s="1020">
        <v>0.25</v>
      </c>
      <c r="E17" s="1018" t="s">
        <v>566</v>
      </c>
      <c r="F17" s="1018">
        <v>1</v>
      </c>
      <c r="G17" s="1018"/>
      <c r="H17" s="1018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16">
        <f>SUM(I15:I16)</f>
        <v>0.80400000000000005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/>
    <hyperlink ref="G2" location="SU_A1100_BOM" display="Back to BOM"/>
    <hyperlink ref="B4" location="SU_A1100" display="SU_A1100"/>
  </hyperlinks>
  <pageMargins left="0.70866141732283472" right="0.70866141732283472" top="0.74803149606299213" bottom="0.74803149606299213" header="0.31496062992125984" footer="0.31496062992125984"/>
  <pageSetup paperSize="9" scale="87" firstPageNumber="0" fitToHeight="99" orientation="landscape" r:id="rId1"/>
  <rowBreaks count="2" manualBreakCount="2">
    <brk id="19" max="16383" man="1"/>
    <brk id="53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593</v>
      </c>
    </row>
  </sheetData>
  <hyperlinks>
    <hyperlink ref="B1" location="SU_11003" display="SU_11003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9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9" customWidth="1"/>
    <col min="7" max="7" width="12.88671875" customWidth="1"/>
    <col min="9" max="9" width="15.88671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08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08" t="s">
        <v>16</v>
      </c>
      <c r="N2" s="74">
        <f>SU_11004_m+SU_11004_p</f>
        <v>0.42454853333333331</v>
      </c>
      <c r="O2" s="62"/>
    </row>
    <row r="3" spans="1:15" x14ac:dyDescent="0.3">
      <c r="A3" s="1008" t="s">
        <v>3</v>
      </c>
      <c r="B3" s="16" t="str">
        <f>'SU A1100 '!B3</f>
        <v>Wheels &amp; Tires</v>
      </c>
      <c r="C3" s="56"/>
      <c r="D3" s="1008" t="s">
        <v>6</v>
      </c>
      <c r="E3" s="1009" t="s">
        <v>86</v>
      </c>
      <c r="F3" s="56"/>
      <c r="G3" s="56"/>
      <c r="H3" s="56"/>
      <c r="I3" s="56"/>
      <c r="J3" s="56"/>
      <c r="K3" s="56"/>
      <c r="L3" s="56"/>
      <c r="M3" s="1008" t="s">
        <v>4</v>
      </c>
      <c r="N3" s="82">
        <v>15</v>
      </c>
      <c r="O3" s="62"/>
    </row>
    <row r="4" spans="1:15" x14ac:dyDescent="0.3">
      <c r="A4" s="1008" t="s">
        <v>5</v>
      </c>
      <c r="B4" s="277" t="str">
        <f>'SU A1100 '!B4</f>
        <v>Rear Uprights</v>
      </c>
      <c r="C4" s="56"/>
      <c r="D4" s="1008" t="s">
        <v>8</v>
      </c>
      <c r="E4" s="56"/>
      <c r="F4" s="56"/>
      <c r="G4" s="56"/>
      <c r="H4" s="56"/>
      <c r="I4" s="56"/>
      <c r="J4" s="1010" t="s">
        <v>6</v>
      </c>
      <c r="K4" s="56"/>
      <c r="L4" s="56"/>
      <c r="M4" s="56"/>
      <c r="N4" s="56"/>
      <c r="O4" s="62"/>
    </row>
    <row r="5" spans="1:15" x14ac:dyDescent="0.3">
      <c r="A5" s="1008" t="s">
        <v>15</v>
      </c>
      <c r="B5" s="18" t="s">
        <v>512</v>
      </c>
      <c r="C5" s="56"/>
      <c r="D5" s="1008" t="s">
        <v>12</v>
      </c>
      <c r="E5" s="56"/>
      <c r="F5" s="56"/>
      <c r="G5" s="56"/>
      <c r="H5" s="56"/>
      <c r="I5" s="56"/>
      <c r="J5" s="1010" t="s">
        <v>8</v>
      </c>
      <c r="K5" s="56"/>
      <c r="L5" s="56"/>
      <c r="M5" s="1008" t="s">
        <v>9</v>
      </c>
      <c r="N5" s="74">
        <f>N3*N2</f>
        <v>6.3682279999999993</v>
      </c>
      <c r="O5" s="62"/>
    </row>
    <row r="6" spans="1:15" x14ac:dyDescent="0.3">
      <c r="A6" s="1008" t="s">
        <v>7</v>
      </c>
      <c r="B6" s="28" t="s">
        <v>588</v>
      </c>
      <c r="C6" s="56"/>
      <c r="D6" s="56"/>
      <c r="E6" s="56"/>
      <c r="F6" s="56"/>
      <c r="G6" s="56"/>
      <c r="H6" s="56"/>
      <c r="I6" s="56"/>
      <c r="J6" s="1010" t="s">
        <v>12</v>
      </c>
      <c r="K6" s="56"/>
      <c r="L6" s="56"/>
      <c r="M6" s="56"/>
      <c r="N6" s="56"/>
      <c r="O6" s="62"/>
    </row>
    <row r="7" spans="1:15" x14ac:dyDescent="0.3">
      <c r="A7" s="1008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08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1" t="s">
        <v>14</v>
      </c>
      <c r="B10" s="1012" t="s">
        <v>19</v>
      </c>
      <c r="C10" s="1012" t="s">
        <v>20</v>
      </c>
      <c r="D10" s="1012" t="s">
        <v>21</v>
      </c>
      <c r="E10" s="1012" t="s">
        <v>22</v>
      </c>
      <c r="F10" s="1013" t="s">
        <v>23</v>
      </c>
      <c r="G10" s="1013" t="s">
        <v>24</v>
      </c>
      <c r="H10" s="1013" t="s">
        <v>25</v>
      </c>
      <c r="I10" s="1013" t="s">
        <v>26</v>
      </c>
      <c r="J10" s="1013" t="s">
        <v>27</v>
      </c>
      <c r="K10" s="1013" t="s">
        <v>28</v>
      </c>
      <c r="L10" s="1013" t="s">
        <v>29</v>
      </c>
      <c r="M10" s="1013" t="s">
        <v>17</v>
      </c>
      <c r="N10" s="1013" t="s">
        <v>18</v>
      </c>
      <c r="O10" s="62"/>
    </row>
    <row r="11" spans="1:15" s="22" customFormat="1" ht="28.8" x14ac:dyDescent="0.3">
      <c r="A11" s="980">
        <v>10</v>
      </c>
      <c r="B11" s="777" t="s">
        <v>375</v>
      </c>
      <c r="C11" s="1018"/>
      <c r="D11" s="1041">
        <v>2.25</v>
      </c>
      <c r="E11" s="1037">
        <f>J11*K11*L11</f>
        <v>3.1651199999999997E-2</v>
      </c>
      <c r="F11" s="982" t="s">
        <v>212</v>
      </c>
      <c r="G11" s="982"/>
      <c r="H11" s="984"/>
      <c r="I11" s="841" t="s">
        <v>589</v>
      </c>
      <c r="J11" s="1038">
        <f>0.084*0.048</f>
        <v>4.032E-3</v>
      </c>
      <c r="K11" s="1039">
        <v>1E-3</v>
      </c>
      <c r="L11" s="994">
        <v>7850</v>
      </c>
      <c r="M11" s="995">
        <v>1</v>
      </c>
      <c r="N11" s="32">
        <f>D11*E11</f>
        <v>7.1215199999999992E-2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16">
        <f>N11*M11</f>
        <v>7.1215199999999992E-2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58" t="s">
        <v>14</v>
      </c>
      <c r="B14" s="1013" t="s">
        <v>31</v>
      </c>
      <c r="C14" s="1013" t="s">
        <v>20</v>
      </c>
      <c r="D14" s="1013" t="s">
        <v>21</v>
      </c>
      <c r="E14" s="1013" t="s">
        <v>32</v>
      </c>
      <c r="F14" s="1013" t="s">
        <v>17</v>
      </c>
      <c r="G14" s="1013" t="s">
        <v>33</v>
      </c>
      <c r="H14" s="1013" t="s">
        <v>34</v>
      </c>
      <c r="I14" s="1013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18">
        <v>10</v>
      </c>
      <c r="B15" s="1019" t="s">
        <v>535</v>
      </c>
      <c r="C15" s="1019" t="s">
        <v>549</v>
      </c>
      <c r="D15" s="1041">
        <v>1.3</v>
      </c>
      <c r="E15" s="1018" t="s">
        <v>32</v>
      </c>
      <c r="F15" s="1018">
        <v>1</v>
      </c>
      <c r="G15" s="1018" t="s">
        <v>590</v>
      </c>
      <c r="H15" s="1018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18">
        <v>20</v>
      </c>
      <c r="B16" s="1019" t="s">
        <v>421</v>
      </c>
      <c r="C16" s="1019"/>
      <c r="D16" s="1041">
        <v>0.01</v>
      </c>
      <c r="E16" s="1018" t="s">
        <v>40</v>
      </c>
      <c r="F16" s="1018">
        <v>31</v>
      </c>
      <c r="G16" s="1018"/>
      <c r="H16" s="1018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16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/>
    <hyperlink ref="G2" location="SU_A1100_BOM" display="Back to BOM"/>
    <hyperlink ref="B4" location="SU_A1100" display="SU_A1100"/>
  </hyperlinks>
  <pageMargins left="0.70866141732283472" right="0.70866141732283472" top="0.74803149606299213" bottom="0.74803149606299213" header="0.31496062992125984" footer="0.31496062992125984"/>
  <pageSetup paperSize="9" scale="84" firstPageNumber="0" fitToHeight="99" orientation="landscape" r:id="rId1"/>
  <rowBreaks count="2" manualBreakCount="2">
    <brk id="19" max="16383" man="1"/>
    <brk id="53" max="16383" man="1"/>
  </row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09" t="s">
        <v>594</v>
      </c>
    </row>
  </sheetData>
  <hyperlinks>
    <hyperlink ref="B1" location="SU_11004" display="SU_11004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35.21875" customWidth="1"/>
    <col min="3" max="3" width="43.109375" customWidth="1"/>
    <col min="7" max="7" width="6.44140625" customWidth="1"/>
    <col min="8" max="8" width="9.109375" customWidth="1"/>
    <col min="9" max="9" width="13.6640625" customWidth="1"/>
    <col min="11" max="11" width="8.44140625" customWidth="1"/>
    <col min="12" max="12" width="7.4414062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SU_A1200_pa+SU_A1200_m+SU_A1200_p+SU_A1200_f</f>
        <v>27.129630417246744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477</v>
      </c>
      <c r="C4" s="715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597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80">
        <f>N2*SU_A1200_q</f>
        <v>54.259260834493489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598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4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2">
        <v>10</v>
      </c>
      <c r="B10" s="719" t="s">
        <v>476</v>
      </c>
      <c r="C10" s="283">
        <f>'SU 12001'!N2</f>
        <v>9.0687098494115101</v>
      </c>
      <c r="D10" s="720">
        <f>SU_12001_q</f>
        <v>1</v>
      </c>
      <c r="E10" s="283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2">
        <v>20</v>
      </c>
      <c r="B11" s="719" t="s">
        <v>475</v>
      </c>
      <c r="C11" s="283">
        <f>'SU 12002'!N2</f>
        <v>1.6908095579918243</v>
      </c>
      <c r="D11" s="720">
        <f>SU_12002_q</f>
        <v>2</v>
      </c>
      <c r="E11" s="283">
        <f t="shared" ref="E11:E13" si="0"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2">
        <v>30</v>
      </c>
      <c r="B12" s="1052" t="str">
        <f>'SU 12003'!B5</f>
        <v>Spacer 1</v>
      </c>
      <c r="C12" s="283">
        <f>'SU 12003'!N2</f>
        <v>0.25585628167808949</v>
      </c>
      <c r="D12" s="720">
        <f>SU_12003_q</f>
        <v>2</v>
      </c>
      <c r="E12" s="283">
        <f t="shared" si="0"/>
        <v>0.51171256335617898</v>
      </c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82">
        <v>30</v>
      </c>
      <c r="B13" s="1052" t="str">
        <f>'SU 12004'!B5</f>
        <v>Spacer 2</v>
      </c>
      <c r="C13" s="283">
        <f>'SU 12004'!N2</f>
        <v>0.25585628167808949</v>
      </c>
      <c r="D13" s="720">
        <f>SU_12003_q</f>
        <v>2</v>
      </c>
      <c r="E13" s="283">
        <f t="shared" si="0"/>
        <v>0.51171256335617898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13.473754092107516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1064" t="s">
        <v>473</v>
      </c>
      <c r="C17" s="1064" t="s">
        <v>474</v>
      </c>
      <c r="D17" s="278">
        <f>0.02*E17^2+1.22</f>
        <v>2.5</v>
      </c>
      <c r="E17" s="1064">
        <v>8</v>
      </c>
      <c r="F17" s="1064" t="s">
        <v>30</v>
      </c>
      <c r="G17" s="1064"/>
      <c r="H17" s="885"/>
      <c r="I17" s="1065" t="s">
        <v>471</v>
      </c>
      <c r="J17" s="883"/>
      <c r="K17" s="885"/>
      <c r="L17" s="885"/>
      <c r="M17" s="883">
        <v>1</v>
      </c>
      <c r="N17" s="280">
        <f>D17*M17</f>
        <v>2.5</v>
      </c>
      <c r="O17" s="62"/>
    </row>
    <row r="18" spans="1:15" s="22" customFormat="1" x14ac:dyDescent="0.3">
      <c r="A18" s="72">
        <v>20</v>
      </c>
      <c r="B18" s="1064" t="s">
        <v>473</v>
      </c>
      <c r="C18" s="1064" t="s">
        <v>472</v>
      </c>
      <c r="D18" s="278">
        <f>0.02*E18^2+1.22</f>
        <v>2.5</v>
      </c>
      <c r="E18" s="1064">
        <v>8</v>
      </c>
      <c r="F18" s="1064" t="s">
        <v>30</v>
      </c>
      <c r="G18" s="1064"/>
      <c r="H18" s="885"/>
      <c r="I18" s="886" t="s">
        <v>471</v>
      </c>
      <c r="J18" s="883"/>
      <c r="K18" s="885"/>
      <c r="L18" s="884"/>
      <c r="M18" s="883">
        <v>1</v>
      </c>
      <c r="N18" s="280">
        <f>D18*M18</f>
        <v>2.5</v>
      </c>
      <c r="O18" s="66"/>
    </row>
    <row r="19" spans="1:15" x14ac:dyDescent="0.3">
      <c r="A19" s="67"/>
      <c r="B19" s="882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2" t="s">
        <v>142</v>
      </c>
      <c r="C22" s="880" t="s">
        <v>226</v>
      </c>
      <c r="D22" s="279">
        <v>0.02</v>
      </c>
      <c r="E22" s="880" t="s">
        <v>140</v>
      </c>
      <c r="F22" s="878">
        <v>6.6</v>
      </c>
      <c r="G22" s="881"/>
      <c r="H22" s="878">
        <v>1</v>
      </c>
      <c r="I22" s="279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>A22+10</f>
        <v>20</v>
      </c>
      <c r="B23" s="282" t="s">
        <v>142</v>
      </c>
      <c r="C23" s="880" t="s">
        <v>470</v>
      </c>
      <c r="D23" s="279">
        <v>0.02</v>
      </c>
      <c r="E23" s="880" t="s">
        <v>140</v>
      </c>
      <c r="F23" s="878">
        <v>6.6</v>
      </c>
      <c r="G23" s="878"/>
      <c r="H23" s="878">
        <v>1</v>
      </c>
      <c r="I23" s="279">
        <f t="shared" ref="I23:I37" si="1">D23*F23*H23</f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ref="A24:A37" si="2">A23+10</f>
        <v>30</v>
      </c>
      <c r="B24" s="1066" t="s">
        <v>469</v>
      </c>
      <c r="C24" s="877" t="s">
        <v>468</v>
      </c>
      <c r="D24" s="74">
        <v>0.02</v>
      </c>
      <c r="E24" s="877" t="s">
        <v>467</v>
      </c>
      <c r="F24" s="878">
        <v>6.6</v>
      </c>
      <c r="G24" s="877"/>
      <c r="H24" s="877">
        <v>1</v>
      </c>
      <c r="I24" s="279">
        <f t="shared" si="1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2"/>
        <v>40</v>
      </c>
      <c r="B25" s="255" t="s">
        <v>363</v>
      </c>
      <c r="C25" s="1067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9">
        <f t="shared" si="1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2"/>
        <v>50</v>
      </c>
      <c r="B26" s="255" t="s">
        <v>465</v>
      </c>
      <c r="C26" s="1067" t="s">
        <v>464</v>
      </c>
      <c r="D26" s="74">
        <v>0.5</v>
      </c>
      <c r="E26" s="876" t="s">
        <v>35</v>
      </c>
      <c r="F26" s="72">
        <v>2</v>
      </c>
      <c r="G26" s="72"/>
      <c r="H26" s="72">
        <v>1</v>
      </c>
      <c r="I26" s="279">
        <f t="shared" si="1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2"/>
        <v>60</v>
      </c>
      <c r="B27" s="255" t="s">
        <v>463</v>
      </c>
      <c r="C27" s="1067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9">
        <f t="shared" si="1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2"/>
        <v>70</v>
      </c>
      <c r="B28" s="255" t="s">
        <v>368</v>
      </c>
      <c r="C28" s="1067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9">
        <f t="shared" si="1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2"/>
        <v>80</v>
      </c>
      <c r="B29" s="1067" t="s">
        <v>360</v>
      </c>
      <c r="C29" s="1067" t="s">
        <v>462</v>
      </c>
      <c r="D29" s="874">
        <v>0.06</v>
      </c>
      <c r="E29" s="1068" t="s">
        <v>35</v>
      </c>
      <c r="F29" s="1068">
        <v>2</v>
      </c>
      <c r="G29" s="1068"/>
      <c r="H29" s="1068">
        <v>1</v>
      </c>
      <c r="I29" s="279">
        <f t="shared" si="1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2"/>
        <v>90</v>
      </c>
      <c r="B30" s="1067" t="s">
        <v>360</v>
      </c>
      <c r="C30" s="1067" t="s">
        <v>399</v>
      </c>
      <c r="D30" s="874">
        <v>0.06</v>
      </c>
      <c r="E30" s="1068" t="s">
        <v>35</v>
      </c>
      <c r="F30" s="1068">
        <v>2</v>
      </c>
      <c r="G30" s="1068"/>
      <c r="H30" s="1068">
        <v>1</v>
      </c>
      <c r="I30" s="279">
        <f t="shared" si="1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2"/>
        <v>100</v>
      </c>
      <c r="B31" s="255" t="s">
        <v>363</v>
      </c>
      <c r="C31" s="1067" t="s">
        <v>461</v>
      </c>
      <c r="D31" s="874">
        <v>0.12</v>
      </c>
      <c r="E31" s="1068" t="s">
        <v>35</v>
      </c>
      <c r="F31" s="1068">
        <v>1</v>
      </c>
      <c r="G31" s="1068"/>
      <c r="H31" s="1068">
        <v>1</v>
      </c>
      <c r="I31" s="279">
        <f t="shared" si="1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2"/>
        <v>110</v>
      </c>
      <c r="B32" s="1068" t="s">
        <v>360</v>
      </c>
      <c r="C32" s="1067" t="s">
        <v>460</v>
      </c>
      <c r="D32" s="874">
        <v>0.06</v>
      </c>
      <c r="E32" s="1068" t="s">
        <v>35</v>
      </c>
      <c r="F32" s="1068">
        <v>2</v>
      </c>
      <c r="G32" s="1068"/>
      <c r="H32" s="1068">
        <v>1</v>
      </c>
      <c r="I32" s="279">
        <f t="shared" si="1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2"/>
        <v>120</v>
      </c>
      <c r="B33" s="1068" t="s">
        <v>360</v>
      </c>
      <c r="C33" s="1067" t="s">
        <v>459</v>
      </c>
      <c r="D33" s="874">
        <v>0.06</v>
      </c>
      <c r="E33" s="1068" t="s">
        <v>35</v>
      </c>
      <c r="F33" s="1068">
        <v>2</v>
      </c>
      <c r="G33" s="1068"/>
      <c r="H33" s="1068">
        <v>1</v>
      </c>
      <c r="I33" s="279">
        <f t="shared" si="1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2"/>
        <v>130</v>
      </c>
      <c r="B34" s="255" t="s">
        <v>363</v>
      </c>
      <c r="C34" s="1067" t="s">
        <v>458</v>
      </c>
      <c r="D34" s="874">
        <v>0.12</v>
      </c>
      <c r="E34" s="1068" t="s">
        <v>35</v>
      </c>
      <c r="F34" s="1068">
        <v>1</v>
      </c>
      <c r="G34" s="1068"/>
      <c r="H34" s="1068">
        <v>1</v>
      </c>
      <c r="I34" s="279">
        <f t="shared" si="1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2"/>
        <v>140</v>
      </c>
      <c r="B35" s="255" t="s">
        <v>363</v>
      </c>
      <c r="C35" s="1067" t="s">
        <v>365</v>
      </c>
      <c r="D35" s="874">
        <v>0.12</v>
      </c>
      <c r="E35" s="1068" t="s">
        <v>35</v>
      </c>
      <c r="F35" s="1068">
        <v>2</v>
      </c>
      <c r="G35" s="1068"/>
      <c r="H35" s="1068">
        <v>1</v>
      </c>
      <c r="I35" s="279">
        <f t="shared" si="1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2"/>
        <v>150</v>
      </c>
      <c r="B36" s="255" t="s">
        <v>366</v>
      </c>
      <c r="C36" s="1067" t="s">
        <v>367</v>
      </c>
      <c r="D36" s="874">
        <v>0.75</v>
      </c>
      <c r="E36" s="1068" t="s">
        <v>35</v>
      </c>
      <c r="F36" s="1068">
        <v>2</v>
      </c>
      <c r="G36" s="1068"/>
      <c r="H36" s="1068">
        <v>1</v>
      </c>
      <c r="I36" s="279">
        <f t="shared" si="1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2"/>
        <v>160</v>
      </c>
      <c r="B37" s="255" t="s">
        <v>368</v>
      </c>
      <c r="C37" s="1067" t="s">
        <v>367</v>
      </c>
      <c r="D37" s="874">
        <v>0.25</v>
      </c>
      <c r="E37" s="1068" t="s">
        <v>35</v>
      </c>
      <c r="F37" s="1068">
        <v>2</v>
      </c>
      <c r="G37" s="1068"/>
      <c r="H37" s="1068">
        <v>1</v>
      </c>
      <c r="I37" s="279">
        <f t="shared" si="1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0">
        <f>0.8/105154*E41^2*G41*SQRT(G41)+0.003*EXP(0.319*E41)</f>
        <v>0.18547981844542938</v>
      </c>
      <c r="E41" s="671">
        <v>8</v>
      </c>
      <c r="F41" s="671" t="s">
        <v>30</v>
      </c>
      <c r="G41" s="671">
        <v>45</v>
      </c>
      <c r="H41" s="671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0">
        <f>0.8/105154*E42^2*G42*SQRT(G42)+0.003*EXP(0.319*E42)</f>
        <v>0.18547981844542938</v>
      </c>
      <c r="E42" s="671">
        <v>8</v>
      </c>
      <c r="F42" s="671" t="s">
        <v>30</v>
      </c>
      <c r="G42" s="671">
        <v>45</v>
      </c>
      <c r="H42" s="671" t="s">
        <v>30</v>
      </c>
      <c r="I42" s="82">
        <v>1</v>
      </c>
      <c r="J42" s="74">
        <f t="shared" ref="J42:J45" si="3"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 t="shared" ref="A43:A45" si="4">A42+10</f>
        <v>30</v>
      </c>
      <c r="B43" s="72" t="s">
        <v>371</v>
      </c>
      <c r="C43" s="72"/>
      <c r="D43" s="670">
        <v>0.01</v>
      </c>
      <c r="E43" s="72">
        <v>8</v>
      </c>
      <c r="F43" s="672" t="s">
        <v>35</v>
      </c>
      <c r="G43" s="72"/>
      <c r="H43" s="72"/>
      <c r="I43" s="82">
        <v>4</v>
      </c>
      <c r="J43" s="74">
        <f t="shared" si="3"/>
        <v>0.04</v>
      </c>
      <c r="K43" s="56"/>
      <c r="L43" s="56"/>
      <c r="M43" s="56"/>
      <c r="N43" s="56"/>
      <c r="O43" s="62"/>
    </row>
    <row r="44" spans="1:15" x14ac:dyDescent="0.3">
      <c r="A44" s="72">
        <f t="shared" si="4"/>
        <v>40</v>
      </c>
      <c r="B44" s="72" t="s">
        <v>372</v>
      </c>
      <c r="C44" s="72" t="s">
        <v>455</v>
      </c>
      <c r="D44" s="670">
        <f>0.009*EXP(0.2*E44)</f>
        <v>2.9881052304628931E-2</v>
      </c>
      <c r="E44" s="72">
        <v>6</v>
      </c>
      <c r="F44" s="672" t="s">
        <v>30</v>
      </c>
      <c r="G44" s="72"/>
      <c r="H44" s="72"/>
      <c r="I44" s="82">
        <v>2</v>
      </c>
      <c r="J44" s="74">
        <f t="shared" si="3"/>
        <v>5.9762104609257863E-2</v>
      </c>
      <c r="K44" s="56"/>
      <c r="L44" s="56"/>
      <c r="M44" s="56"/>
      <c r="N44" s="56"/>
      <c r="O44" s="62"/>
    </row>
    <row r="45" spans="1:15" x14ac:dyDescent="0.3">
      <c r="A45" s="72">
        <f t="shared" si="4"/>
        <v>50</v>
      </c>
      <c r="B45" s="72" t="s">
        <v>372</v>
      </c>
      <c r="C45" s="72" t="s">
        <v>454</v>
      </c>
      <c r="D45" s="670">
        <f>0.009*EXP(0.2*E45)</f>
        <v>4.4577291819556032E-2</v>
      </c>
      <c r="E45" s="72">
        <v>8</v>
      </c>
      <c r="F45" s="672" t="s">
        <v>30</v>
      </c>
      <c r="G45" s="72"/>
      <c r="H45" s="72"/>
      <c r="I45" s="82">
        <v>2</v>
      </c>
      <c r="J45" s="74">
        <f t="shared" si="3"/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2004" display="SU_12004"/>
    <hyperlink ref="B10" location="SU_12001" display="Pullrod tube"/>
    <hyperlink ref="B11" location="SU_12002" display="Pullrod insert"/>
    <hyperlink ref="B12" location="SU_12003" display="SU_12003"/>
    <hyperlink ref="E2" location="SU_A1200_BOM" display="Back to BOM"/>
  </hyperlinks>
  <pageMargins left="0.70866141732283472" right="0.70866141732283472" top="0.74803149606299213" bottom="0.74803149606299213" header="0.31496062992125984" footer="0.31496062992125984"/>
  <pageSetup paperSize="9" scale="66" firstPageNumber="0" fitToHeight="99" orientation="landscape" r:id="rId1"/>
  <rowBreaks count="1" manualBreakCount="1">
    <brk id="48" max="16383" man="1"/>
  </rowBreaks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79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1.6640625" customWidth="1"/>
    <col min="10" max="10" width="13.5546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69" t="s">
        <v>0</v>
      </c>
      <c r="B2" s="16" t="s">
        <v>37</v>
      </c>
      <c r="C2" s="1070"/>
      <c r="D2" s="1070"/>
      <c r="E2" s="1070"/>
      <c r="F2" s="88" t="s">
        <v>126</v>
      </c>
      <c r="G2" s="1070"/>
      <c r="H2" s="1070"/>
      <c r="I2" s="1070"/>
      <c r="J2" s="1071" t="s">
        <v>1</v>
      </c>
      <c r="K2" s="1072">
        <v>81</v>
      </c>
      <c r="L2" s="1070"/>
      <c r="M2" s="1073" t="s">
        <v>16</v>
      </c>
      <c r="N2" s="1074">
        <f>SU_12001_m+SU_12001_p</f>
        <v>9.0687098494115101</v>
      </c>
      <c r="O2" s="270"/>
    </row>
    <row r="3" spans="1:15" x14ac:dyDescent="0.3">
      <c r="A3" s="1075" t="s">
        <v>3</v>
      </c>
      <c r="B3" s="16" t="str">
        <f>'SU A1200'!B3</f>
        <v>Suspension &amp; Shocks</v>
      </c>
      <c r="C3" s="1070"/>
      <c r="D3" s="1073" t="s">
        <v>6</v>
      </c>
      <c r="E3" s="88"/>
      <c r="F3" s="1070"/>
      <c r="G3" s="1070"/>
      <c r="H3" s="1070"/>
      <c r="I3" s="1070"/>
      <c r="J3" s="1070"/>
      <c r="K3" s="1070"/>
      <c r="L3" s="1070"/>
      <c r="M3" s="1076" t="s">
        <v>4</v>
      </c>
      <c r="N3" s="1077">
        <v>1</v>
      </c>
      <c r="O3" s="270"/>
    </row>
    <row r="4" spans="1:15" x14ac:dyDescent="0.3">
      <c r="A4" s="1075" t="s">
        <v>5</v>
      </c>
      <c r="B4" s="88" t="str">
        <f>'SU A1200'!B4</f>
        <v>Front Pullrod</v>
      </c>
      <c r="C4" s="1070"/>
      <c r="D4" s="1076" t="s">
        <v>8</v>
      </c>
      <c r="E4" s="1070"/>
      <c r="F4" s="1070"/>
      <c r="G4" s="1070"/>
      <c r="H4" s="1070"/>
      <c r="I4" s="1070"/>
      <c r="J4" s="1073" t="s">
        <v>6</v>
      </c>
      <c r="K4" s="1070"/>
      <c r="L4" s="1070"/>
      <c r="M4" s="1070"/>
      <c r="N4" s="1070"/>
      <c r="O4" s="270"/>
    </row>
    <row r="5" spans="1:15" x14ac:dyDescent="0.3">
      <c r="A5" s="1075" t="s">
        <v>15</v>
      </c>
      <c r="B5" s="747" t="s">
        <v>476</v>
      </c>
      <c r="C5" s="1070"/>
      <c r="D5" s="1076" t="s">
        <v>12</v>
      </c>
      <c r="E5" s="1070"/>
      <c r="F5" s="1070"/>
      <c r="G5" s="1070"/>
      <c r="H5" s="1070"/>
      <c r="I5" s="1070"/>
      <c r="J5" s="1076" t="s">
        <v>8</v>
      </c>
      <c r="K5" s="1070"/>
      <c r="L5" s="1070"/>
      <c r="M5" s="1073" t="s">
        <v>9</v>
      </c>
      <c r="N5" s="1074">
        <f>N2*SU_12001_q</f>
        <v>9.0687098494115101</v>
      </c>
      <c r="O5" s="270"/>
    </row>
    <row r="6" spans="1:15" x14ac:dyDescent="0.3">
      <c r="A6" s="1075" t="s">
        <v>7</v>
      </c>
      <c r="B6" s="56" t="s">
        <v>599</v>
      </c>
      <c r="C6" s="1070"/>
      <c r="D6" s="1070"/>
      <c r="E6" s="1070"/>
      <c r="F6" s="1070"/>
      <c r="G6" s="1070"/>
      <c r="H6" s="1070"/>
      <c r="I6" s="1070"/>
      <c r="J6" s="1076" t="s">
        <v>12</v>
      </c>
      <c r="K6" s="1070"/>
      <c r="L6" s="1070"/>
      <c r="M6" s="1070"/>
      <c r="N6" s="1070"/>
      <c r="O6" s="270"/>
    </row>
    <row r="7" spans="1:15" x14ac:dyDescent="0.3">
      <c r="A7" s="1075" t="s">
        <v>10</v>
      </c>
      <c r="B7" s="16" t="s">
        <v>11</v>
      </c>
      <c r="C7" s="1070"/>
      <c r="D7" s="1070"/>
      <c r="E7" s="1070"/>
      <c r="F7" s="1070"/>
      <c r="G7" s="1070"/>
      <c r="H7" s="1070"/>
      <c r="I7" s="1070"/>
      <c r="J7" s="1070"/>
      <c r="K7" s="1070"/>
      <c r="L7" s="1070"/>
      <c r="M7" s="1070"/>
      <c r="N7" s="1070"/>
      <c r="O7" s="270"/>
    </row>
    <row r="8" spans="1:15" x14ac:dyDescent="0.3">
      <c r="A8" s="1075" t="s">
        <v>13</v>
      </c>
      <c r="B8" s="16"/>
      <c r="C8" s="1070"/>
      <c r="D8" s="1070"/>
      <c r="E8" s="1070"/>
      <c r="F8" s="1070"/>
      <c r="G8" s="1070"/>
      <c r="H8" s="1070"/>
      <c r="I8" s="1070"/>
      <c r="J8" s="1070"/>
      <c r="K8" s="1070"/>
      <c r="L8" s="1070"/>
      <c r="M8" s="1070"/>
      <c r="N8" s="1070"/>
      <c r="O8" s="270"/>
    </row>
    <row r="9" spans="1:15" x14ac:dyDescent="0.3">
      <c r="A9" s="1078"/>
      <c r="B9" s="1070"/>
      <c r="C9" s="1070"/>
      <c r="D9" s="1070"/>
      <c r="E9" s="1070"/>
      <c r="F9" s="1070"/>
      <c r="G9" s="1070"/>
      <c r="H9" s="1070"/>
      <c r="I9" s="1070"/>
      <c r="J9" s="1070"/>
      <c r="K9" s="1070"/>
      <c r="L9" s="1070"/>
      <c r="M9" s="1070"/>
      <c r="N9" s="1070"/>
      <c r="O9" s="270"/>
    </row>
    <row r="10" spans="1:15" x14ac:dyDescent="0.3">
      <c r="A10" s="1079" t="s">
        <v>14</v>
      </c>
      <c r="B10" s="1080" t="s">
        <v>19</v>
      </c>
      <c r="C10" s="1080" t="s">
        <v>20</v>
      </c>
      <c r="D10" s="1080" t="s">
        <v>21</v>
      </c>
      <c r="E10" s="1080" t="s">
        <v>22</v>
      </c>
      <c r="F10" s="1080" t="s">
        <v>23</v>
      </c>
      <c r="G10" s="1080" t="s">
        <v>24</v>
      </c>
      <c r="H10" s="1080" t="s">
        <v>25</v>
      </c>
      <c r="I10" s="1080" t="s">
        <v>26</v>
      </c>
      <c r="J10" s="1080" t="s">
        <v>27</v>
      </c>
      <c r="K10" s="1080" t="s">
        <v>28</v>
      </c>
      <c r="L10" s="1080" t="s">
        <v>29</v>
      </c>
      <c r="M10" s="1080" t="s">
        <v>17</v>
      </c>
      <c r="N10" s="1080" t="s">
        <v>18</v>
      </c>
      <c r="O10" s="270"/>
    </row>
    <row r="11" spans="1:15" ht="15" customHeight="1" x14ac:dyDescent="0.3">
      <c r="A11" s="1081">
        <v>10</v>
      </c>
      <c r="B11" s="807" t="s">
        <v>482</v>
      </c>
      <c r="C11" s="1082" t="s">
        <v>481</v>
      </c>
      <c r="D11" s="1083">
        <v>200</v>
      </c>
      <c r="E11" s="1084">
        <f>J11*K11*L11</f>
        <v>4.0305377108495605E-2</v>
      </c>
      <c r="F11" s="1085" t="s">
        <v>212</v>
      </c>
      <c r="G11" s="1085"/>
      <c r="H11" s="1086"/>
      <c r="I11" s="1087" t="s">
        <v>480</v>
      </c>
      <c r="J11" s="1087">
        <f>PI()*((8*10^-3)^2-(6*10^-3)^2)</f>
        <v>8.7964594300514196E-5</v>
      </c>
      <c r="K11" s="1088">
        <v>0.28999999999999998</v>
      </c>
      <c r="L11" s="1089">
        <v>1580</v>
      </c>
      <c r="M11" s="1089">
        <v>1</v>
      </c>
      <c r="N11" s="1083">
        <f>D11*E11</f>
        <v>8.0610754216991207</v>
      </c>
      <c r="O11" s="270"/>
    </row>
    <row r="12" spans="1:15" x14ac:dyDescent="0.3">
      <c r="A12" s="1090"/>
      <c r="B12" s="1091"/>
      <c r="C12" s="1091"/>
      <c r="D12" s="1091"/>
      <c r="E12" s="1091"/>
      <c r="F12" s="1091"/>
      <c r="G12" s="1091"/>
      <c r="H12" s="1091"/>
      <c r="I12" s="1091"/>
      <c r="J12" s="1091"/>
      <c r="K12" s="1091"/>
      <c r="L12" s="1091"/>
      <c r="M12" s="1092" t="s">
        <v>18</v>
      </c>
      <c r="N12" s="1093">
        <f>N11</f>
        <v>8.0610754216991207</v>
      </c>
      <c r="O12" s="270"/>
    </row>
    <row r="13" spans="1:15" x14ac:dyDescent="0.3">
      <c r="A13" s="1078"/>
      <c r="B13" s="1070"/>
      <c r="C13" s="1070"/>
      <c r="D13" s="1070"/>
      <c r="E13" s="1070"/>
      <c r="F13" s="1070"/>
      <c r="G13" s="1070"/>
      <c r="H13" s="1070"/>
      <c r="I13" s="1070"/>
      <c r="J13" s="1070"/>
      <c r="K13" s="1070"/>
      <c r="L13" s="1070"/>
      <c r="M13" s="1070"/>
      <c r="N13" s="1070"/>
      <c r="O13" s="270"/>
    </row>
    <row r="14" spans="1:15" x14ac:dyDescent="0.3">
      <c r="A14" s="1079" t="s">
        <v>14</v>
      </c>
      <c r="B14" s="1080" t="s">
        <v>31</v>
      </c>
      <c r="C14" s="1080" t="s">
        <v>20</v>
      </c>
      <c r="D14" s="1080" t="s">
        <v>21</v>
      </c>
      <c r="E14" s="1080" t="s">
        <v>32</v>
      </c>
      <c r="F14" s="1080" t="s">
        <v>17</v>
      </c>
      <c r="G14" s="1080" t="s">
        <v>33</v>
      </c>
      <c r="H14" s="1080" t="s">
        <v>34</v>
      </c>
      <c r="I14" s="1080" t="s">
        <v>18</v>
      </c>
      <c r="J14" s="1091"/>
      <c r="K14" s="1091"/>
      <c r="L14" s="1091"/>
      <c r="M14" s="1091"/>
      <c r="N14" s="1091"/>
      <c r="O14" s="270"/>
    </row>
    <row r="15" spans="1:15" x14ac:dyDescent="0.3">
      <c r="A15" s="1094">
        <v>10</v>
      </c>
      <c r="B15" s="255" t="s">
        <v>479</v>
      </c>
      <c r="C15" s="895" t="s">
        <v>478</v>
      </c>
      <c r="D15" s="259">
        <v>25</v>
      </c>
      <c r="E15" s="255" t="s">
        <v>212</v>
      </c>
      <c r="F15" s="894">
        <f>E11</f>
        <v>4.0305377108495605E-2</v>
      </c>
      <c r="G15" s="893"/>
      <c r="H15" s="893"/>
      <c r="I15" s="32">
        <f>D15*F15</f>
        <v>1.0076344277123901</v>
      </c>
      <c r="J15" s="1070"/>
      <c r="K15" s="1070"/>
      <c r="L15" s="1070"/>
      <c r="M15" s="1070"/>
      <c r="N15" s="1070"/>
      <c r="O15" s="270"/>
    </row>
    <row r="16" spans="1:15" x14ac:dyDescent="0.3">
      <c r="A16" s="1090"/>
      <c r="B16" s="1091"/>
      <c r="C16" s="1091"/>
      <c r="D16" s="1091"/>
      <c r="E16" s="1091"/>
      <c r="F16" s="1091"/>
      <c r="G16" s="1091"/>
      <c r="H16" s="1092" t="s">
        <v>18</v>
      </c>
      <c r="I16" s="1095">
        <f>I15</f>
        <v>1.0076344277123901</v>
      </c>
      <c r="J16" s="1091"/>
      <c r="K16" s="1091"/>
      <c r="L16" s="1091"/>
      <c r="M16" s="1091"/>
      <c r="N16" s="1091"/>
      <c r="O16" s="270"/>
    </row>
    <row r="17" spans="1:15" ht="15" thickBot="1" x14ac:dyDescent="0.35">
      <c r="A17" s="1096"/>
      <c r="B17" s="1097"/>
      <c r="C17" s="1097"/>
      <c r="D17" s="1097"/>
      <c r="E17" s="1097"/>
      <c r="F17" s="1097"/>
      <c r="G17" s="1097"/>
      <c r="H17" s="1098"/>
      <c r="I17" s="1099"/>
      <c r="J17" s="1097"/>
      <c r="K17" s="1097"/>
      <c r="L17" s="1097"/>
      <c r="M17" s="1097"/>
      <c r="N17" s="1097"/>
      <c r="O17" s="292"/>
    </row>
    <row r="18" spans="1:15" x14ac:dyDescent="0.3">
      <c r="A18" s="1100"/>
      <c r="B18" s="1100"/>
      <c r="C18" s="1100"/>
      <c r="D18" s="1100"/>
      <c r="E18" s="1100"/>
      <c r="F18" s="1100"/>
      <c r="G18" s="1100"/>
      <c r="H18" s="1100"/>
      <c r="I18" s="1100"/>
      <c r="J18" s="1100"/>
      <c r="K18" s="1100"/>
      <c r="L18" s="1100"/>
      <c r="M18" s="1100"/>
      <c r="N18" s="1100"/>
    </row>
    <row r="19" spans="1:15" x14ac:dyDescent="0.3">
      <c r="A19" s="1100"/>
      <c r="B19" s="1100"/>
      <c r="C19" s="1100"/>
      <c r="D19" s="1100"/>
      <c r="E19" s="1100"/>
      <c r="F19" s="1100"/>
      <c r="G19" s="1100"/>
      <c r="H19" s="1100"/>
      <c r="I19" s="1100"/>
      <c r="J19" s="1100"/>
      <c r="K19" s="1100"/>
      <c r="L19" s="1100"/>
      <c r="M19" s="1100"/>
      <c r="N19" s="1100"/>
    </row>
    <row r="20" spans="1:15" x14ac:dyDescent="0.3">
      <c r="A20" s="1100"/>
      <c r="B20" s="1100"/>
      <c r="C20" s="1100"/>
      <c r="D20" s="1100"/>
      <c r="E20" s="1100"/>
      <c r="F20" s="1100"/>
      <c r="G20" s="1100"/>
      <c r="H20" s="1100"/>
      <c r="I20" s="1100"/>
      <c r="J20" s="1100"/>
      <c r="K20" s="1100"/>
      <c r="L20" s="1100"/>
      <c r="M20" s="1100"/>
      <c r="N20" s="1100"/>
    </row>
    <row r="21" spans="1:15" x14ac:dyDescent="0.3">
      <c r="A21" s="1100"/>
      <c r="B21" s="1100"/>
      <c r="C21" s="1100"/>
      <c r="D21" s="1100"/>
      <c r="E21" s="1100"/>
      <c r="F21" s="1100"/>
      <c r="G21" s="1100"/>
      <c r="H21" s="1100"/>
      <c r="I21" s="1100"/>
      <c r="J21" s="1100"/>
      <c r="K21" s="1100"/>
      <c r="L21" s="1100"/>
      <c r="M21" s="1100"/>
      <c r="N21" s="1100"/>
    </row>
    <row r="22" spans="1:15" x14ac:dyDescent="0.3">
      <c r="A22" s="16"/>
      <c r="B22" s="1100"/>
      <c r="C22" s="1100"/>
      <c r="D22" s="1100"/>
      <c r="E22" s="1100"/>
      <c r="F22" s="1100"/>
      <c r="G22" s="1100"/>
      <c r="H22" s="1100"/>
      <c r="I22" s="1100"/>
      <c r="J22" s="1100"/>
      <c r="K22" s="1100"/>
      <c r="L22" s="1100"/>
      <c r="M22" s="1100"/>
      <c r="N22" s="1100"/>
    </row>
    <row r="23" spans="1:15" x14ac:dyDescent="0.3">
      <c r="A23" s="16"/>
      <c r="B23" s="1100"/>
      <c r="C23" s="1100"/>
      <c r="D23" s="1100"/>
      <c r="E23" s="1100"/>
      <c r="F23" s="1100"/>
      <c r="G23" s="1100"/>
      <c r="H23" s="1100"/>
      <c r="I23" s="1100"/>
      <c r="J23" s="1100"/>
      <c r="K23" s="1100"/>
      <c r="L23" s="1100"/>
      <c r="M23" s="1100"/>
      <c r="N23" s="1100"/>
    </row>
    <row r="24" spans="1:15" x14ac:dyDescent="0.3">
      <c r="A24" s="88"/>
      <c r="B24" s="1100"/>
      <c r="C24" s="1100"/>
      <c r="D24" s="1100"/>
      <c r="E24" s="1100"/>
      <c r="F24" s="1100"/>
      <c r="G24" s="1100"/>
      <c r="H24" s="1100"/>
      <c r="I24" s="1100"/>
      <c r="J24" s="1100"/>
      <c r="K24" s="1100"/>
      <c r="L24" s="1100"/>
      <c r="M24" s="1100"/>
      <c r="N24" s="1100"/>
    </row>
    <row r="25" spans="1:15" x14ac:dyDescent="0.3">
      <c r="A25" s="18"/>
      <c r="B25" s="1100"/>
      <c r="C25" s="1100"/>
      <c r="D25" s="1100"/>
      <c r="E25" s="1100"/>
      <c r="F25" s="1100"/>
      <c r="G25" s="1100"/>
      <c r="H25" s="1100"/>
      <c r="I25" s="1100"/>
      <c r="J25" s="1100"/>
      <c r="K25" s="1100"/>
      <c r="L25" s="1100"/>
      <c r="M25" s="1100"/>
      <c r="N25" s="1100"/>
    </row>
    <row r="26" spans="1:15" x14ac:dyDescent="0.3">
      <c r="A26" s="28"/>
      <c r="B26" s="1100"/>
      <c r="C26" s="1100"/>
      <c r="D26" s="1100"/>
      <c r="E26" s="1100"/>
      <c r="F26" s="1100"/>
      <c r="G26" s="1100"/>
      <c r="H26" s="1100"/>
      <c r="I26" s="1100"/>
      <c r="J26" s="1100"/>
      <c r="K26" s="1100"/>
      <c r="L26" s="1100"/>
      <c r="M26" s="1100"/>
      <c r="N26" s="1100"/>
    </row>
    <row r="27" spans="1:15" x14ac:dyDescent="0.3">
      <c r="A27" s="16"/>
      <c r="B27" s="1100"/>
      <c r="C27" s="1100"/>
      <c r="D27" s="1100"/>
      <c r="E27" s="1100"/>
      <c r="F27" s="1100"/>
      <c r="G27" s="1100"/>
      <c r="H27" s="1100"/>
      <c r="I27" s="1100"/>
      <c r="J27" s="1100"/>
      <c r="K27" s="1100"/>
      <c r="L27" s="1100"/>
      <c r="M27" s="1100"/>
      <c r="N27" s="1100"/>
    </row>
    <row r="28" spans="1:15" x14ac:dyDescent="0.3">
      <c r="A28" s="16"/>
      <c r="B28" s="1100"/>
      <c r="C28" s="1100"/>
      <c r="D28" s="1100"/>
      <c r="E28" s="1100"/>
      <c r="F28" s="1100"/>
      <c r="G28" s="1100"/>
      <c r="H28" s="1100"/>
      <c r="I28" s="1100"/>
      <c r="J28" s="1100"/>
      <c r="K28" s="1100"/>
      <c r="L28" s="1100"/>
      <c r="M28" s="1100"/>
      <c r="N28" s="1100"/>
    </row>
    <row r="29" spans="1:15" x14ac:dyDescent="0.3">
      <c r="A29" s="1100"/>
      <c r="B29" s="1100"/>
      <c r="C29" s="1100"/>
      <c r="D29" s="1100"/>
      <c r="E29" s="1100"/>
      <c r="F29" s="1100"/>
      <c r="G29" s="1100"/>
      <c r="H29" s="1100"/>
      <c r="I29" s="1100"/>
      <c r="J29" s="1100"/>
      <c r="K29" s="1100"/>
      <c r="L29" s="1100"/>
      <c r="M29" s="1100"/>
      <c r="N29" s="1100"/>
    </row>
    <row r="30" spans="1:15" x14ac:dyDescent="0.3">
      <c r="A30" s="1100"/>
      <c r="B30" s="1100"/>
      <c r="C30" s="1100"/>
      <c r="D30" s="1100"/>
      <c r="E30" s="1100"/>
      <c r="F30" s="1100"/>
      <c r="G30" s="1100"/>
      <c r="H30" s="1100"/>
      <c r="I30" s="1100"/>
      <c r="J30" s="1100"/>
      <c r="K30" s="1100"/>
      <c r="L30" s="1100"/>
      <c r="M30" s="1100"/>
      <c r="N30" s="1100"/>
    </row>
    <row r="31" spans="1:15" x14ac:dyDescent="0.3">
      <c r="A31" s="1100"/>
      <c r="B31" s="1100"/>
      <c r="C31" s="1100"/>
      <c r="D31" s="1100"/>
      <c r="E31" s="1100"/>
      <c r="F31" s="1100"/>
      <c r="G31" s="1100"/>
      <c r="H31" s="1100"/>
      <c r="I31" s="1100"/>
      <c r="J31" s="1100"/>
      <c r="K31" s="1100"/>
      <c r="L31" s="1100"/>
      <c r="M31" s="1100"/>
      <c r="N31" s="1100"/>
    </row>
    <row r="32" spans="1:15" x14ac:dyDescent="0.3">
      <c r="A32" s="1100"/>
      <c r="B32" s="1100"/>
      <c r="C32" s="1100"/>
      <c r="D32" s="1100"/>
      <c r="E32" s="1100"/>
      <c r="F32" s="1100"/>
      <c r="G32" s="1100"/>
      <c r="H32" s="1100"/>
      <c r="I32" s="1100"/>
      <c r="J32" s="1100"/>
      <c r="K32" s="1100"/>
      <c r="L32" s="1100"/>
      <c r="M32" s="1100"/>
      <c r="N32" s="1100"/>
    </row>
    <row r="33" spans="1:14" x14ac:dyDescent="0.3">
      <c r="A33" s="1100"/>
      <c r="B33" s="1100"/>
      <c r="C33" s="1100"/>
      <c r="D33" s="1100"/>
      <c r="E33" s="1100"/>
      <c r="F33" s="1100"/>
      <c r="G33" s="1100"/>
      <c r="H33" s="1100"/>
      <c r="I33" s="1100"/>
      <c r="J33" s="1100"/>
      <c r="K33" s="1100"/>
      <c r="L33" s="1100"/>
      <c r="M33" s="1100"/>
      <c r="N33" s="1100"/>
    </row>
    <row r="34" spans="1:14" x14ac:dyDescent="0.3">
      <c r="A34" s="1100"/>
      <c r="B34" s="1100"/>
      <c r="C34" s="1100"/>
      <c r="D34" s="1100"/>
      <c r="E34" s="1100"/>
      <c r="F34" s="1100"/>
      <c r="G34" s="1100"/>
      <c r="H34" s="1100"/>
      <c r="I34" s="1100"/>
      <c r="J34" s="1100"/>
      <c r="K34" s="1100"/>
      <c r="L34" s="1100"/>
      <c r="M34" s="1100"/>
      <c r="N34" s="1100"/>
    </row>
    <row r="35" spans="1:14" x14ac:dyDescent="0.3">
      <c r="A35" s="1100"/>
      <c r="B35" s="1100"/>
      <c r="C35" s="1100"/>
      <c r="D35" s="1100"/>
      <c r="E35" s="1100"/>
      <c r="F35" s="1100"/>
      <c r="G35" s="1100"/>
      <c r="H35" s="1100"/>
      <c r="I35" s="1100"/>
      <c r="J35" s="1100"/>
      <c r="K35" s="1100"/>
      <c r="L35" s="1100"/>
      <c r="M35" s="1100"/>
      <c r="N35" s="1100"/>
    </row>
    <row r="36" spans="1:14" x14ac:dyDescent="0.3">
      <c r="A36" s="1100"/>
      <c r="B36" s="1100"/>
      <c r="C36" s="1100"/>
      <c r="D36" s="1100"/>
      <c r="E36" s="1100"/>
      <c r="F36" s="1100"/>
      <c r="G36" s="1100"/>
      <c r="H36" s="1100"/>
      <c r="I36" s="1100"/>
      <c r="J36" s="1100"/>
      <c r="K36" s="1100"/>
      <c r="L36" s="1100"/>
      <c r="M36" s="1100"/>
      <c r="N36" s="1100"/>
    </row>
    <row r="37" spans="1:14" x14ac:dyDescent="0.3">
      <c r="A37" s="1100"/>
      <c r="B37" s="1100"/>
      <c r="C37" s="1100"/>
      <c r="D37" s="1100"/>
      <c r="E37" s="1100"/>
      <c r="F37" s="1100"/>
      <c r="G37" s="1100"/>
      <c r="H37" s="1100"/>
      <c r="I37" s="1100"/>
      <c r="J37" s="1100"/>
      <c r="K37" s="1100"/>
      <c r="L37" s="1100"/>
      <c r="M37" s="1100"/>
      <c r="N37" s="1100"/>
    </row>
    <row r="38" spans="1:14" x14ac:dyDescent="0.3">
      <c r="A38" s="1100"/>
      <c r="B38" s="1100"/>
      <c r="C38" s="1100"/>
      <c r="D38" s="1100"/>
      <c r="E38" s="1100"/>
      <c r="F38" s="1100"/>
      <c r="G38" s="1100"/>
      <c r="H38" s="1100"/>
      <c r="I38" s="1100"/>
      <c r="J38" s="1100"/>
      <c r="K38" s="1100"/>
      <c r="L38" s="1100"/>
      <c r="M38" s="1100"/>
      <c r="N38" s="1100"/>
    </row>
    <row r="39" spans="1:14" x14ac:dyDescent="0.3">
      <c r="A39" s="1100"/>
      <c r="B39" s="1100"/>
      <c r="C39" s="1100"/>
      <c r="D39" s="1100"/>
      <c r="E39" s="1100"/>
      <c r="F39" s="1100"/>
      <c r="G39" s="1100"/>
      <c r="H39" s="1100"/>
      <c r="I39" s="1100"/>
      <c r="J39" s="1100"/>
      <c r="K39" s="1100"/>
      <c r="L39" s="1100"/>
      <c r="M39" s="1100"/>
      <c r="N39" s="1100"/>
    </row>
    <row r="40" spans="1:14" x14ac:dyDescent="0.3">
      <c r="A40" s="1100"/>
      <c r="B40" s="1100"/>
      <c r="C40" s="1100"/>
      <c r="D40" s="1100"/>
      <c r="E40" s="1100"/>
      <c r="F40" s="1100"/>
      <c r="G40" s="1100"/>
      <c r="H40" s="1100"/>
      <c r="I40" s="1100"/>
      <c r="J40" s="1100"/>
      <c r="K40" s="1100"/>
      <c r="L40" s="1100"/>
      <c r="M40" s="1100"/>
      <c r="N40" s="1100"/>
    </row>
    <row r="41" spans="1:14" x14ac:dyDescent="0.3">
      <c r="A41" s="1100"/>
      <c r="B41" s="1100"/>
      <c r="C41" s="1100"/>
      <c r="D41" s="1100"/>
      <c r="E41" s="1100"/>
      <c r="F41" s="1100"/>
      <c r="G41" s="1100"/>
      <c r="H41" s="1100"/>
      <c r="I41" s="1100"/>
      <c r="J41" s="1100"/>
      <c r="K41" s="1100"/>
      <c r="L41" s="1100"/>
      <c r="M41" s="1100"/>
      <c r="N41" s="1100"/>
    </row>
    <row r="42" spans="1:14" x14ac:dyDescent="0.3">
      <c r="A42" s="1100"/>
      <c r="B42" s="1100"/>
      <c r="C42" s="1100"/>
      <c r="D42" s="1100"/>
      <c r="E42" s="1100"/>
      <c r="F42" s="1100"/>
      <c r="G42" s="1100"/>
      <c r="H42" s="1100"/>
      <c r="I42" s="1100"/>
      <c r="J42" s="1100"/>
      <c r="K42" s="1100"/>
      <c r="L42" s="1100"/>
      <c r="M42" s="1100"/>
      <c r="N42" s="1100"/>
    </row>
    <row r="43" spans="1:14" x14ac:dyDescent="0.3">
      <c r="A43" s="1100"/>
      <c r="B43" s="1100"/>
      <c r="C43" s="1100"/>
      <c r="D43" s="1100"/>
      <c r="E43" s="1100"/>
      <c r="F43" s="1100"/>
      <c r="G43" s="1100"/>
      <c r="H43" s="1100"/>
      <c r="I43" s="1100"/>
      <c r="J43" s="1100"/>
      <c r="K43" s="1100"/>
      <c r="L43" s="1100"/>
      <c r="M43" s="1100"/>
      <c r="N43" s="1100"/>
    </row>
    <row r="44" spans="1:14" x14ac:dyDescent="0.3">
      <c r="A44" s="1100"/>
      <c r="B44" s="1100"/>
      <c r="C44" s="1100"/>
      <c r="D44" s="1100"/>
      <c r="E44" s="1100"/>
      <c r="F44" s="1100"/>
      <c r="G44" s="1100"/>
      <c r="H44" s="1100"/>
      <c r="I44" s="1100"/>
      <c r="J44" s="1100"/>
      <c r="K44" s="1100"/>
      <c r="L44" s="1100"/>
      <c r="M44" s="1100"/>
      <c r="N44" s="1100"/>
    </row>
    <row r="45" spans="1:14" x14ac:dyDescent="0.3">
      <c r="A45" s="1100"/>
      <c r="B45" s="1100"/>
      <c r="C45" s="1100"/>
      <c r="D45" s="1100"/>
      <c r="E45" s="1100"/>
      <c r="F45" s="1100"/>
      <c r="G45" s="1100"/>
      <c r="H45" s="1100"/>
      <c r="I45" s="1100"/>
      <c r="J45" s="1100"/>
      <c r="K45" s="1100"/>
      <c r="L45" s="1100"/>
      <c r="M45" s="1100"/>
      <c r="N45" s="1100"/>
    </row>
    <row r="46" spans="1:14" x14ac:dyDescent="0.3">
      <c r="A46" s="1100"/>
      <c r="B46" s="1100"/>
      <c r="C46" s="1100"/>
      <c r="D46" s="1100"/>
      <c r="E46" s="1100"/>
      <c r="F46" s="1100"/>
      <c r="G46" s="1100"/>
      <c r="H46" s="1100"/>
      <c r="I46" s="1100"/>
      <c r="J46" s="1100"/>
      <c r="K46" s="1100"/>
      <c r="L46" s="1100"/>
      <c r="M46" s="1100"/>
      <c r="N46" s="1100"/>
    </row>
    <row r="47" spans="1:14" x14ac:dyDescent="0.3">
      <c r="A47" s="1100"/>
      <c r="B47" s="1100"/>
      <c r="C47" s="1100"/>
      <c r="D47" s="1100"/>
      <c r="E47" s="1100"/>
      <c r="F47" s="1100"/>
      <c r="G47" s="1100"/>
      <c r="H47" s="1100"/>
      <c r="I47" s="1100"/>
      <c r="J47" s="1100"/>
      <c r="K47" s="1100"/>
      <c r="L47" s="1100"/>
      <c r="M47" s="1100"/>
      <c r="N47" s="1100"/>
    </row>
    <row r="48" spans="1:14" x14ac:dyDescent="0.3">
      <c r="A48" s="1100"/>
      <c r="B48" s="1100"/>
      <c r="C48" s="1100"/>
      <c r="D48" s="1100"/>
      <c r="E48" s="1100"/>
      <c r="F48" s="1100"/>
      <c r="G48" s="1100"/>
      <c r="H48" s="1100"/>
      <c r="I48" s="1100"/>
      <c r="J48" s="1100"/>
      <c r="K48" s="1100"/>
      <c r="L48" s="1100"/>
      <c r="M48" s="1100"/>
      <c r="N48" s="1100"/>
    </row>
    <row r="49" spans="1:14" x14ac:dyDescent="0.3">
      <c r="A49" s="1100"/>
      <c r="B49" s="1100"/>
      <c r="C49" s="1100"/>
      <c r="D49" s="1100"/>
      <c r="E49" s="1100"/>
      <c r="F49" s="1100"/>
      <c r="G49" s="1100"/>
      <c r="H49" s="1100"/>
      <c r="I49" s="1100"/>
      <c r="J49" s="1100"/>
      <c r="K49" s="1100"/>
      <c r="L49" s="1100"/>
      <c r="M49" s="1100"/>
      <c r="N49" s="1100"/>
    </row>
    <row r="50" spans="1:14" x14ac:dyDescent="0.3">
      <c r="A50" s="1100"/>
      <c r="B50" s="1100"/>
      <c r="C50" s="1100"/>
      <c r="D50" s="1100"/>
      <c r="E50" s="1100"/>
      <c r="F50" s="1100"/>
      <c r="G50" s="1100"/>
      <c r="H50" s="1100"/>
      <c r="I50" s="1100"/>
      <c r="J50" s="1100"/>
      <c r="K50" s="1100"/>
      <c r="L50" s="1100"/>
      <c r="M50" s="1100"/>
      <c r="N50" s="1100"/>
    </row>
    <row r="51" spans="1:14" x14ac:dyDescent="0.3">
      <c r="A51" s="1100"/>
      <c r="B51" s="1100"/>
      <c r="C51" s="1100"/>
      <c r="D51" s="1100"/>
      <c r="E51" s="1100"/>
      <c r="F51" s="1100"/>
      <c r="G51" s="1100"/>
      <c r="H51" s="1100"/>
      <c r="I51" s="1100"/>
      <c r="J51" s="1100"/>
      <c r="K51" s="1100"/>
      <c r="L51" s="1100"/>
      <c r="M51" s="1100"/>
      <c r="N51" s="1100"/>
    </row>
    <row r="52" spans="1:14" x14ac:dyDescent="0.3">
      <c r="A52" s="1100"/>
      <c r="B52" s="1100"/>
      <c r="C52" s="1100"/>
      <c r="D52" s="1100"/>
      <c r="E52" s="1100"/>
      <c r="F52" s="1100"/>
      <c r="G52" s="1100"/>
      <c r="H52" s="1100"/>
      <c r="I52" s="1100"/>
      <c r="J52" s="1100"/>
      <c r="K52" s="1100"/>
      <c r="L52" s="1100"/>
      <c r="M52" s="1100"/>
      <c r="N52" s="1100"/>
    </row>
    <row r="53" spans="1:14" x14ac:dyDescent="0.3">
      <c r="A53" s="1100"/>
      <c r="B53" s="1100"/>
      <c r="C53" s="1100"/>
      <c r="D53" s="1100"/>
      <c r="E53" s="1100"/>
      <c r="F53" s="1100"/>
      <c r="G53" s="1100"/>
      <c r="H53" s="1100"/>
      <c r="I53" s="1100"/>
      <c r="J53" s="1100"/>
      <c r="K53" s="1100"/>
      <c r="L53" s="1100"/>
      <c r="M53" s="1100"/>
      <c r="N53" s="1100"/>
    </row>
    <row r="54" spans="1:14" x14ac:dyDescent="0.3">
      <c r="A54" s="1100"/>
      <c r="B54" s="1100"/>
      <c r="C54" s="1100"/>
      <c r="D54" s="1100"/>
      <c r="E54" s="1100"/>
      <c r="F54" s="1100"/>
      <c r="G54" s="1100"/>
      <c r="H54" s="1100"/>
      <c r="I54" s="1100"/>
      <c r="J54" s="1100"/>
      <c r="K54" s="1100"/>
      <c r="L54" s="1100"/>
      <c r="M54" s="1100"/>
      <c r="N54" s="1100"/>
    </row>
    <row r="55" spans="1:14" x14ac:dyDescent="0.3">
      <c r="A55" s="1100"/>
      <c r="B55" s="1100"/>
      <c r="C55" s="1100"/>
      <c r="D55" s="1100"/>
      <c r="E55" s="1100"/>
      <c r="F55" s="1100"/>
      <c r="G55" s="1100"/>
      <c r="H55" s="1100"/>
      <c r="I55" s="1100"/>
      <c r="J55" s="1100"/>
      <c r="K55" s="1100"/>
      <c r="L55" s="1100"/>
      <c r="M55" s="1100"/>
      <c r="N55" s="1100"/>
    </row>
    <row r="56" spans="1:14" x14ac:dyDescent="0.3">
      <c r="A56" s="1100"/>
      <c r="B56" s="1100"/>
      <c r="C56" s="1100"/>
      <c r="D56" s="1100"/>
      <c r="E56" s="1100"/>
      <c r="F56" s="1100"/>
      <c r="G56" s="1100"/>
      <c r="H56" s="1100"/>
      <c r="I56" s="1100"/>
      <c r="J56" s="1100"/>
      <c r="K56" s="1100"/>
      <c r="L56" s="1100"/>
      <c r="M56" s="1100"/>
      <c r="N56" s="1100"/>
    </row>
    <row r="57" spans="1:14" x14ac:dyDescent="0.3">
      <c r="A57" s="1100"/>
      <c r="B57" s="1100"/>
      <c r="C57" s="1100"/>
      <c r="D57" s="1100"/>
      <c r="E57" s="1100"/>
      <c r="F57" s="1100"/>
      <c r="G57" s="1100"/>
      <c r="H57" s="1100"/>
      <c r="I57" s="1100"/>
      <c r="J57" s="1100"/>
      <c r="K57" s="1100"/>
      <c r="L57" s="1100"/>
      <c r="M57" s="1100"/>
      <c r="N57" s="1100"/>
    </row>
    <row r="58" spans="1:14" x14ac:dyDescent="0.3">
      <c r="A58" s="1100"/>
      <c r="B58" s="1100"/>
      <c r="C58" s="1100"/>
      <c r="D58" s="1100"/>
      <c r="E58" s="1100"/>
      <c r="F58" s="1100"/>
      <c r="G58" s="1100"/>
      <c r="H58" s="1100"/>
      <c r="I58" s="1100"/>
      <c r="J58" s="1100"/>
      <c r="K58" s="1100"/>
      <c r="L58" s="1100"/>
      <c r="M58" s="1100"/>
      <c r="N58" s="1100"/>
    </row>
    <row r="59" spans="1:14" x14ac:dyDescent="0.3">
      <c r="A59" s="1100"/>
      <c r="B59" s="1100"/>
      <c r="C59" s="1100"/>
      <c r="D59" s="1100"/>
      <c r="E59" s="1100"/>
      <c r="F59" s="1100"/>
      <c r="G59" s="1100"/>
      <c r="H59" s="1100"/>
      <c r="I59" s="1100"/>
      <c r="J59" s="1100"/>
      <c r="K59" s="1100"/>
      <c r="L59" s="1100"/>
      <c r="M59" s="1100"/>
      <c r="N59" s="1100"/>
    </row>
    <row r="60" spans="1:14" x14ac:dyDescent="0.3">
      <c r="A60" s="1100"/>
      <c r="B60" s="1100"/>
      <c r="C60" s="1100"/>
      <c r="D60" s="1100"/>
      <c r="E60" s="1100"/>
      <c r="F60" s="1100"/>
      <c r="G60" s="1100"/>
      <c r="H60" s="1100"/>
      <c r="I60" s="1100"/>
      <c r="J60" s="1100"/>
      <c r="K60" s="1100"/>
      <c r="L60" s="1100"/>
      <c r="M60" s="1100"/>
      <c r="N60" s="1100"/>
    </row>
    <row r="61" spans="1:14" x14ac:dyDescent="0.3">
      <c r="A61" s="1100"/>
      <c r="B61" s="1100"/>
      <c r="C61" s="1100"/>
      <c r="D61" s="1100"/>
      <c r="E61" s="1100"/>
      <c r="F61" s="1100"/>
      <c r="G61" s="1100"/>
      <c r="H61" s="1100"/>
      <c r="I61" s="1100"/>
      <c r="J61" s="1100"/>
      <c r="K61" s="1100"/>
      <c r="L61" s="1100"/>
      <c r="M61" s="1100"/>
      <c r="N61" s="1100"/>
    </row>
    <row r="62" spans="1:14" x14ac:dyDescent="0.3">
      <c r="A62" s="1100"/>
      <c r="B62" s="1100"/>
      <c r="C62" s="1100"/>
      <c r="D62" s="1100"/>
      <c r="E62" s="1100"/>
      <c r="F62" s="1100"/>
      <c r="G62" s="1100"/>
      <c r="H62" s="1100"/>
      <c r="I62" s="1100"/>
      <c r="J62" s="1100"/>
      <c r="K62" s="1100"/>
      <c r="L62" s="1100"/>
      <c r="M62" s="1100"/>
      <c r="N62" s="1100"/>
    </row>
    <row r="63" spans="1:14" x14ac:dyDescent="0.3">
      <c r="A63" s="1100"/>
      <c r="B63" s="1100"/>
      <c r="C63" s="1100"/>
      <c r="D63" s="1100"/>
      <c r="E63" s="1100"/>
      <c r="F63" s="1100"/>
      <c r="G63" s="1100"/>
      <c r="H63" s="1100"/>
      <c r="I63" s="1100"/>
      <c r="J63" s="1100"/>
      <c r="K63" s="1100"/>
      <c r="L63" s="1100"/>
      <c r="M63" s="1100"/>
      <c r="N63" s="1100"/>
    </row>
    <row r="64" spans="1:14" x14ac:dyDescent="0.3">
      <c r="A64" s="1100"/>
      <c r="B64" s="1100"/>
      <c r="C64" s="1100"/>
      <c r="D64" s="1100"/>
      <c r="E64" s="1100"/>
      <c r="F64" s="1100"/>
      <c r="G64" s="1100"/>
      <c r="H64" s="1100"/>
      <c r="I64" s="1100"/>
      <c r="J64" s="1100"/>
      <c r="K64" s="1100"/>
      <c r="L64" s="1100"/>
      <c r="M64" s="1100"/>
      <c r="N64" s="1100"/>
    </row>
    <row r="65" spans="1:14" x14ac:dyDescent="0.3">
      <c r="A65" s="1100"/>
      <c r="B65" s="1100"/>
      <c r="C65" s="1100"/>
      <c r="D65" s="1100"/>
      <c r="E65" s="1100"/>
      <c r="F65" s="1100"/>
      <c r="G65" s="1100"/>
      <c r="H65" s="1100"/>
      <c r="I65" s="1100"/>
      <c r="J65" s="1100"/>
      <c r="K65" s="1100"/>
      <c r="L65" s="1100"/>
      <c r="M65" s="1100"/>
      <c r="N65" s="1100"/>
    </row>
    <row r="66" spans="1:14" x14ac:dyDescent="0.3">
      <c r="A66" s="1100"/>
      <c r="B66" s="1100"/>
      <c r="C66" s="1100"/>
      <c r="D66" s="1100"/>
      <c r="E66" s="1100"/>
      <c r="F66" s="1100"/>
      <c r="G66" s="1100"/>
      <c r="H66" s="1100"/>
      <c r="I66" s="1100"/>
      <c r="J66" s="1100"/>
      <c r="K66" s="1100"/>
      <c r="L66" s="1100"/>
      <c r="M66" s="1100"/>
      <c r="N66" s="1100"/>
    </row>
    <row r="67" spans="1:14" x14ac:dyDescent="0.3">
      <c r="A67" s="1100"/>
      <c r="B67" s="1100"/>
      <c r="C67" s="1100"/>
      <c r="D67" s="1100"/>
      <c r="E67" s="1100"/>
      <c r="F67" s="1100"/>
      <c r="G67" s="1100"/>
      <c r="H67" s="1100"/>
      <c r="I67" s="1100"/>
      <c r="J67" s="1100"/>
      <c r="K67" s="1100"/>
      <c r="L67" s="1100"/>
      <c r="M67" s="1100"/>
      <c r="N67" s="1100"/>
    </row>
    <row r="68" spans="1:14" x14ac:dyDescent="0.3">
      <c r="A68" s="1100"/>
      <c r="B68" s="1100"/>
      <c r="C68" s="1100"/>
      <c r="D68" s="1100"/>
      <c r="E68" s="1100"/>
      <c r="F68" s="1100"/>
      <c r="G68" s="1100"/>
      <c r="H68" s="1100"/>
      <c r="I68" s="1100"/>
      <c r="J68" s="1100"/>
      <c r="K68" s="1100"/>
      <c r="L68" s="1100"/>
      <c r="M68" s="1100"/>
      <c r="N68" s="1100"/>
    </row>
    <row r="69" spans="1:14" x14ac:dyDescent="0.3">
      <c r="A69" s="1100"/>
      <c r="B69" s="1100"/>
      <c r="C69" s="1100"/>
      <c r="D69" s="1100"/>
      <c r="E69" s="1100"/>
      <c r="F69" s="1100"/>
      <c r="G69" s="1100"/>
      <c r="H69" s="1100"/>
      <c r="I69" s="1100"/>
      <c r="J69" s="1100"/>
      <c r="K69" s="1100"/>
      <c r="L69" s="1100"/>
      <c r="M69" s="1100"/>
      <c r="N69" s="1100"/>
    </row>
    <row r="70" spans="1:14" x14ac:dyDescent="0.3">
      <c r="A70" s="1100"/>
      <c r="B70" s="1100"/>
      <c r="C70" s="1100"/>
      <c r="D70" s="1100"/>
      <c r="E70" s="1100"/>
      <c r="F70" s="1100"/>
      <c r="G70" s="1100"/>
      <c r="H70" s="1100"/>
      <c r="I70" s="1100"/>
      <c r="J70" s="1100"/>
      <c r="K70" s="1100"/>
      <c r="L70" s="1100"/>
      <c r="M70" s="1100"/>
      <c r="N70" s="1100"/>
    </row>
    <row r="71" spans="1:14" x14ac:dyDescent="0.3">
      <c r="A71" s="1100"/>
      <c r="B71" s="1100"/>
      <c r="C71" s="1100"/>
      <c r="D71" s="1100"/>
      <c r="E71" s="1100"/>
      <c r="F71" s="1100"/>
      <c r="G71" s="1100"/>
      <c r="H71" s="1100"/>
      <c r="I71" s="1100"/>
      <c r="J71" s="1100"/>
      <c r="K71" s="1100"/>
      <c r="L71" s="1100"/>
      <c r="M71" s="1100"/>
      <c r="N71" s="1100"/>
    </row>
    <row r="72" spans="1:14" x14ac:dyDescent="0.3">
      <c r="A72" s="1100"/>
      <c r="B72" s="1100"/>
      <c r="C72" s="1100"/>
      <c r="D72" s="1100"/>
      <c r="E72" s="1100"/>
      <c r="F72" s="1100"/>
      <c r="G72" s="1100"/>
      <c r="H72" s="1100"/>
      <c r="I72" s="1100"/>
      <c r="J72" s="1100"/>
      <c r="K72" s="1100"/>
      <c r="L72" s="1100"/>
      <c r="M72" s="1100"/>
      <c r="N72" s="1100"/>
    </row>
    <row r="73" spans="1:14" x14ac:dyDescent="0.3">
      <c r="A73" s="1100"/>
      <c r="B73" s="1100"/>
      <c r="C73" s="1100"/>
      <c r="D73" s="1100"/>
      <c r="E73" s="1100"/>
      <c r="F73" s="1100"/>
      <c r="G73" s="1100"/>
      <c r="H73" s="1100"/>
      <c r="I73" s="1100"/>
      <c r="J73" s="1100"/>
      <c r="K73" s="1100"/>
      <c r="L73" s="1100"/>
      <c r="M73" s="1100"/>
      <c r="N73" s="1100"/>
    </row>
    <row r="74" spans="1:14" x14ac:dyDescent="0.3">
      <c r="A74" s="1100"/>
      <c r="B74" s="1100"/>
      <c r="C74" s="1100"/>
      <c r="D74" s="1100"/>
      <c r="E74" s="1100"/>
      <c r="F74" s="1100"/>
      <c r="G74" s="1100"/>
      <c r="H74" s="1100"/>
      <c r="I74" s="1100"/>
      <c r="J74" s="1100"/>
      <c r="K74" s="1100"/>
      <c r="L74" s="1100"/>
      <c r="M74" s="1100"/>
      <c r="N74" s="1100"/>
    </row>
    <row r="75" spans="1:14" x14ac:dyDescent="0.3">
      <c r="A75" s="1100"/>
      <c r="B75" s="1100"/>
      <c r="C75" s="1100"/>
      <c r="D75" s="1100"/>
      <c r="E75" s="1100"/>
      <c r="F75" s="1100"/>
      <c r="G75" s="1100"/>
      <c r="H75" s="1100"/>
      <c r="I75" s="1100"/>
      <c r="J75" s="1100"/>
      <c r="K75" s="1100"/>
      <c r="L75" s="1100"/>
      <c r="M75" s="1100"/>
      <c r="N75" s="1100"/>
    </row>
    <row r="76" spans="1:14" x14ac:dyDescent="0.3">
      <c r="A76" s="1100"/>
      <c r="B76" s="1100"/>
      <c r="C76" s="1100"/>
      <c r="D76" s="1100"/>
      <c r="E76" s="1100"/>
      <c r="F76" s="1100"/>
      <c r="G76" s="1100"/>
      <c r="H76" s="1100"/>
      <c r="I76" s="1100"/>
      <c r="J76" s="1100"/>
      <c r="K76" s="1100"/>
      <c r="L76" s="1100"/>
      <c r="M76" s="1100"/>
      <c r="N76" s="1100"/>
    </row>
    <row r="77" spans="1:14" x14ac:dyDescent="0.3">
      <c r="A77" s="1100"/>
      <c r="B77" s="1100"/>
      <c r="C77" s="1100"/>
      <c r="D77" s="1100"/>
      <c r="E77" s="1100"/>
      <c r="F77" s="1100"/>
      <c r="G77" s="1100"/>
      <c r="H77" s="1100"/>
      <c r="I77" s="1100"/>
      <c r="J77" s="1100"/>
      <c r="K77" s="1100"/>
      <c r="L77" s="1100"/>
      <c r="M77" s="1100"/>
      <c r="N77" s="1100"/>
    </row>
    <row r="78" spans="1:14" x14ac:dyDescent="0.3">
      <c r="A78" s="1100"/>
      <c r="B78" s="1100"/>
      <c r="C78" s="1100"/>
      <c r="D78" s="1100"/>
      <c r="E78" s="1100"/>
      <c r="F78" s="1100"/>
      <c r="G78" s="1100"/>
      <c r="H78" s="1100"/>
      <c r="I78" s="1100"/>
      <c r="J78" s="1100"/>
      <c r="K78" s="1100"/>
      <c r="L78" s="1100"/>
      <c r="M78" s="1100"/>
      <c r="N78" s="1100"/>
    </row>
    <row r="79" spans="1:14" x14ac:dyDescent="0.3">
      <c r="A79" s="1100"/>
      <c r="B79" s="1100"/>
      <c r="C79" s="1100"/>
      <c r="D79" s="1100"/>
      <c r="E79" s="1100"/>
      <c r="F79" s="1100"/>
      <c r="G79" s="1100"/>
      <c r="H79" s="1100"/>
      <c r="I79" s="1100"/>
      <c r="J79" s="1100"/>
      <c r="K79" s="1100"/>
      <c r="L79" s="1100"/>
      <c r="M79" s="1100"/>
      <c r="N79" s="1100"/>
    </row>
    <row r="80" spans="1:14" x14ac:dyDescent="0.3">
      <c r="A80" s="1100"/>
      <c r="B80" s="1100"/>
      <c r="C80" s="1100"/>
      <c r="D80" s="1100"/>
      <c r="E80" s="1100"/>
      <c r="F80" s="1100"/>
      <c r="G80" s="1100"/>
      <c r="H80" s="1100"/>
      <c r="I80" s="1100"/>
      <c r="J80" s="1100"/>
      <c r="K80" s="1100"/>
      <c r="L80" s="1100"/>
      <c r="M80" s="1100"/>
      <c r="N80" s="1100"/>
    </row>
    <row r="81" spans="1:14" x14ac:dyDescent="0.3">
      <c r="A81" s="1100"/>
      <c r="B81" s="1100"/>
      <c r="C81" s="1100"/>
      <c r="D81" s="1100"/>
      <c r="E81" s="1100"/>
      <c r="F81" s="1100"/>
      <c r="G81" s="1100"/>
      <c r="H81" s="1100"/>
      <c r="I81" s="1100"/>
      <c r="J81" s="1100"/>
      <c r="K81" s="1100"/>
      <c r="L81" s="1100"/>
      <c r="M81" s="1100"/>
      <c r="N81" s="1100"/>
    </row>
    <row r="82" spans="1:14" x14ac:dyDescent="0.3">
      <c r="A82" s="1100"/>
      <c r="B82" s="1100"/>
      <c r="C82" s="1100"/>
      <c r="D82" s="1100"/>
      <c r="E82" s="1100"/>
      <c r="F82" s="1100"/>
      <c r="G82" s="1100"/>
      <c r="H82" s="1100"/>
      <c r="I82" s="1100"/>
      <c r="J82" s="1100"/>
      <c r="K82" s="1100"/>
      <c r="L82" s="1100"/>
      <c r="M82" s="1100"/>
      <c r="N82" s="1100"/>
    </row>
    <row r="83" spans="1:14" x14ac:dyDescent="0.3">
      <c r="A83" s="1100"/>
      <c r="B83" s="1100"/>
      <c r="C83" s="1100"/>
      <c r="D83" s="1100"/>
      <c r="E83" s="1100"/>
      <c r="F83" s="1100"/>
      <c r="G83" s="1100"/>
      <c r="H83" s="1100"/>
      <c r="I83" s="1100"/>
      <c r="J83" s="1100"/>
      <c r="K83" s="1100"/>
      <c r="L83" s="1100"/>
      <c r="M83" s="1100"/>
      <c r="N83" s="1100"/>
    </row>
    <row r="84" spans="1:14" x14ac:dyDescent="0.3">
      <c r="A84" s="1100"/>
      <c r="B84" s="1100"/>
      <c r="C84" s="1100"/>
      <c r="D84" s="1100"/>
      <c r="E84" s="1100"/>
      <c r="F84" s="1100"/>
      <c r="G84" s="1100"/>
      <c r="H84" s="1100"/>
      <c r="I84" s="1100"/>
      <c r="J84" s="1100"/>
      <c r="K84" s="1100"/>
      <c r="L84" s="1100"/>
      <c r="M84" s="1100"/>
      <c r="N84" s="1100"/>
    </row>
    <row r="85" spans="1:14" x14ac:dyDescent="0.3">
      <c r="A85" s="1100"/>
      <c r="B85" s="1100"/>
      <c r="C85" s="1100"/>
      <c r="D85" s="1100"/>
      <c r="E85" s="1100"/>
      <c r="F85" s="1100"/>
      <c r="G85" s="1100"/>
      <c r="H85" s="1100"/>
      <c r="I85" s="1100"/>
      <c r="J85" s="1100"/>
      <c r="K85" s="1100"/>
      <c r="L85" s="1100"/>
      <c r="M85" s="1100"/>
      <c r="N85" s="1100"/>
    </row>
    <row r="86" spans="1:14" x14ac:dyDescent="0.3">
      <c r="A86" s="1100"/>
      <c r="B86" s="1100"/>
      <c r="C86" s="1100"/>
      <c r="D86" s="1100"/>
      <c r="E86" s="1100"/>
      <c r="F86" s="1100"/>
      <c r="G86" s="1100"/>
      <c r="H86" s="1100"/>
      <c r="I86" s="1100"/>
      <c r="J86" s="1100"/>
      <c r="K86" s="1100"/>
      <c r="L86" s="1100"/>
      <c r="M86" s="1100"/>
      <c r="N86" s="1100"/>
    </row>
    <row r="87" spans="1:14" x14ac:dyDescent="0.3">
      <c r="A87" s="1100"/>
      <c r="B87" s="1100"/>
      <c r="C87" s="1100"/>
      <c r="D87" s="1100"/>
      <c r="E87" s="1100"/>
      <c r="F87" s="1100"/>
      <c r="G87" s="1100"/>
      <c r="H87" s="1100"/>
      <c r="I87" s="1100"/>
      <c r="J87" s="1100"/>
      <c r="K87" s="1100"/>
      <c r="L87" s="1100"/>
      <c r="M87" s="1100"/>
      <c r="N87" s="1100"/>
    </row>
    <row r="88" spans="1:14" x14ac:dyDescent="0.3">
      <c r="A88" s="1100"/>
      <c r="B88" s="1100"/>
      <c r="C88" s="1100"/>
      <c r="D88" s="1100"/>
      <c r="E88" s="1100"/>
      <c r="F88" s="1100"/>
      <c r="G88" s="1100"/>
      <c r="H88" s="1100"/>
      <c r="I88" s="1100"/>
      <c r="J88" s="1100"/>
      <c r="K88" s="1100"/>
      <c r="L88" s="1100"/>
      <c r="M88" s="1100"/>
      <c r="N88" s="1100"/>
    </row>
    <row r="89" spans="1:14" x14ac:dyDescent="0.3">
      <c r="A89" s="1100"/>
      <c r="B89" s="1100"/>
      <c r="C89" s="1100"/>
      <c r="D89" s="1100"/>
      <c r="E89" s="1100"/>
      <c r="F89" s="1100"/>
      <c r="G89" s="1100"/>
      <c r="H89" s="1100"/>
      <c r="I89" s="1100"/>
      <c r="J89" s="1100"/>
      <c r="K89" s="1100"/>
      <c r="L89" s="1100"/>
      <c r="M89" s="1100"/>
      <c r="N89" s="1100"/>
    </row>
    <row r="90" spans="1:14" x14ac:dyDescent="0.3">
      <c r="A90" s="1100"/>
      <c r="B90" s="1100"/>
      <c r="C90" s="1100"/>
      <c r="D90" s="1100"/>
      <c r="E90" s="1100"/>
      <c r="F90" s="1100"/>
      <c r="G90" s="1100"/>
      <c r="H90" s="1100"/>
      <c r="I90" s="1100"/>
      <c r="J90" s="1100"/>
      <c r="K90" s="1100"/>
      <c r="L90" s="1100"/>
      <c r="M90" s="1100"/>
      <c r="N90" s="1100"/>
    </row>
    <row r="91" spans="1:14" x14ac:dyDescent="0.3">
      <c r="A91" s="1100"/>
      <c r="B91" s="1100"/>
      <c r="C91" s="1100"/>
      <c r="D91" s="1100"/>
      <c r="E91" s="1100"/>
      <c r="F91" s="1100"/>
      <c r="G91" s="1100"/>
      <c r="H91" s="1100"/>
      <c r="I91" s="1100"/>
      <c r="J91" s="1100"/>
      <c r="K91" s="1100"/>
      <c r="L91" s="1100"/>
      <c r="M91" s="1100"/>
      <c r="N91" s="1100"/>
    </row>
    <row r="92" spans="1:14" x14ac:dyDescent="0.3">
      <c r="A92" s="1100"/>
      <c r="B92" s="1100"/>
      <c r="C92" s="1100"/>
      <c r="D92" s="1100"/>
      <c r="E92" s="1100"/>
      <c r="F92" s="1100"/>
      <c r="G92" s="1100"/>
      <c r="H92" s="1100"/>
      <c r="I92" s="1100"/>
      <c r="J92" s="1100"/>
      <c r="K92" s="1100"/>
      <c r="L92" s="1100"/>
      <c r="M92" s="1100"/>
      <c r="N92" s="1100"/>
    </row>
    <row r="93" spans="1:14" x14ac:dyDescent="0.3">
      <c r="A93" s="1100"/>
      <c r="B93" s="1100"/>
      <c r="C93" s="1100"/>
      <c r="D93" s="1100"/>
      <c r="E93" s="1100"/>
      <c r="F93" s="1100"/>
      <c r="G93" s="1100"/>
      <c r="H93" s="1100"/>
      <c r="I93" s="1100"/>
      <c r="J93" s="1100"/>
      <c r="K93" s="1100"/>
      <c r="L93" s="1100"/>
      <c r="M93" s="1100"/>
      <c r="N93" s="1100"/>
    </row>
    <row r="94" spans="1:14" x14ac:dyDescent="0.3">
      <c r="A94" s="1100"/>
      <c r="B94" s="1100"/>
      <c r="C94" s="1100"/>
      <c r="D94" s="1100"/>
      <c r="E94" s="1100"/>
      <c r="F94" s="1100"/>
      <c r="G94" s="1100"/>
      <c r="H94" s="1100"/>
      <c r="I94" s="1100"/>
      <c r="J94" s="1100"/>
      <c r="K94" s="1100"/>
      <c r="L94" s="1100"/>
      <c r="M94" s="1100"/>
      <c r="N94" s="1100"/>
    </row>
    <row r="95" spans="1:14" x14ac:dyDescent="0.3">
      <c r="A95" s="1100"/>
      <c r="B95" s="1100"/>
      <c r="C95" s="1100"/>
      <c r="D95" s="1100"/>
      <c r="E95" s="1100"/>
      <c r="F95" s="1100"/>
      <c r="G95" s="1100"/>
      <c r="H95" s="1100"/>
      <c r="I95" s="1100"/>
      <c r="J95" s="1100"/>
      <c r="K95" s="1100"/>
      <c r="L95" s="1100"/>
      <c r="M95" s="1100"/>
      <c r="N95" s="1100"/>
    </row>
    <row r="96" spans="1:14" x14ac:dyDescent="0.3">
      <c r="A96" s="1100"/>
      <c r="B96" s="1100"/>
      <c r="C96" s="1100"/>
      <c r="D96" s="1100"/>
      <c r="E96" s="1100"/>
      <c r="F96" s="1100"/>
      <c r="G96" s="1100"/>
      <c r="H96" s="1100"/>
      <c r="I96" s="1100"/>
      <c r="J96" s="1100"/>
      <c r="K96" s="1100"/>
      <c r="L96" s="1100"/>
      <c r="M96" s="1100"/>
      <c r="N96" s="1100"/>
    </row>
    <row r="97" spans="1:14" x14ac:dyDescent="0.3">
      <c r="A97" s="1100"/>
      <c r="B97" s="1100"/>
      <c r="C97" s="1100"/>
      <c r="D97" s="1100"/>
      <c r="E97" s="1100"/>
      <c r="F97" s="1100"/>
      <c r="G97" s="1100"/>
      <c r="H97" s="1100"/>
      <c r="I97" s="1100"/>
      <c r="J97" s="1100"/>
      <c r="K97" s="1100"/>
      <c r="L97" s="1100"/>
      <c r="M97" s="1100"/>
      <c r="N97" s="1100"/>
    </row>
    <row r="98" spans="1:14" x14ac:dyDescent="0.3">
      <c r="A98" s="1100"/>
      <c r="B98" s="1100"/>
      <c r="C98" s="1100"/>
      <c r="D98" s="1100"/>
      <c r="E98" s="1100"/>
      <c r="F98" s="1100"/>
      <c r="G98" s="1100"/>
      <c r="H98" s="1100"/>
      <c r="I98" s="1100"/>
      <c r="J98" s="1100"/>
      <c r="K98" s="1100"/>
      <c r="L98" s="1100"/>
      <c r="M98" s="1100"/>
      <c r="N98" s="1100"/>
    </row>
    <row r="99" spans="1:14" x14ac:dyDescent="0.3">
      <c r="A99" s="1100"/>
      <c r="B99" s="1100"/>
      <c r="C99" s="1100"/>
      <c r="D99" s="1100"/>
      <c r="E99" s="1100"/>
      <c r="F99" s="1100"/>
      <c r="G99" s="1100"/>
      <c r="H99" s="1100"/>
      <c r="I99" s="1100"/>
      <c r="J99" s="1100"/>
      <c r="K99" s="1100"/>
      <c r="L99" s="1100"/>
      <c r="M99" s="1100"/>
      <c r="N99" s="1100"/>
    </row>
    <row r="100" spans="1:14" x14ac:dyDescent="0.3">
      <c r="A100" s="1100"/>
      <c r="B100" s="1100"/>
      <c r="C100" s="1100"/>
      <c r="D100" s="1100"/>
      <c r="E100" s="1100"/>
      <c r="F100" s="1100"/>
      <c r="G100" s="1100"/>
      <c r="H100" s="1100"/>
      <c r="I100" s="1100"/>
      <c r="J100" s="1100"/>
      <c r="K100" s="1100"/>
      <c r="L100" s="1100"/>
      <c r="M100" s="1100"/>
      <c r="N100" s="1100"/>
    </row>
    <row r="101" spans="1:14" x14ac:dyDescent="0.3">
      <c r="A101" s="1100"/>
      <c r="B101" s="1100"/>
      <c r="C101" s="1100"/>
      <c r="D101" s="1100"/>
      <c r="E101" s="1100"/>
      <c r="F101" s="1100"/>
      <c r="G101" s="1100"/>
      <c r="H101" s="1100"/>
      <c r="I101" s="1100"/>
      <c r="J101" s="1100"/>
      <c r="K101" s="1100"/>
      <c r="L101" s="1100"/>
      <c r="M101" s="1100"/>
      <c r="N101" s="1100"/>
    </row>
    <row r="102" spans="1:14" x14ac:dyDescent="0.3">
      <c r="A102" s="1100"/>
      <c r="B102" s="1100"/>
      <c r="C102" s="1100"/>
      <c r="D102" s="1100"/>
      <c r="E102" s="1100"/>
      <c r="F102" s="1100"/>
      <c r="G102" s="1100"/>
      <c r="H102" s="1100"/>
      <c r="I102" s="1100"/>
      <c r="J102" s="1100"/>
      <c r="K102" s="1100"/>
      <c r="L102" s="1100"/>
      <c r="M102" s="1100"/>
      <c r="N102" s="1100"/>
    </row>
    <row r="103" spans="1:14" x14ac:dyDescent="0.3">
      <c r="A103" s="1100"/>
      <c r="B103" s="1100"/>
      <c r="C103" s="1100"/>
      <c r="D103" s="1100"/>
      <c r="E103" s="1100"/>
      <c r="F103" s="1100"/>
      <c r="G103" s="1100"/>
      <c r="H103" s="1100"/>
      <c r="I103" s="1100"/>
      <c r="J103" s="1100"/>
      <c r="K103" s="1100"/>
      <c r="L103" s="1100"/>
      <c r="M103" s="1100"/>
      <c r="N103" s="1100"/>
    </row>
    <row r="104" spans="1:14" x14ac:dyDescent="0.3">
      <c r="A104" s="1100"/>
      <c r="B104" s="1100"/>
      <c r="C104" s="1100"/>
      <c r="D104" s="1100"/>
      <c r="E104" s="1100"/>
      <c r="F104" s="1100"/>
      <c r="G104" s="1100"/>
      <c r="H104" s="1100"/>
      <c r="I104" s="1100"/>
      <c r="J104" s="1100"/>
      <c r="K104" s="1100"/>
      <c r="L104" s="1100"/>
      <c r="M104" s="1100"/>
      <c r="N104" s="1100"/>
    </row>
    <row r="105" spans="1:14" x14ac:dyDescent="0.3">
      <c r="A105" s="1100"/>
      <c r="B105" s="1100"/>
      <c r="C105" s="1100"/>
      <c r="D105" s="1100"/>
      <c r="E105" s="1100"/>
      <c r="F105" s="1100"/>
      <c r="G105" s="1100"/>
      <c r="H105" s="1100"/>
      <c r="I105" s="1100"/>
      <c r="J105" s="1100"/>
      <c r="K105" s="1100"/>
      <c r="L105" s="1100"/>
      <c r="M105" s="1100"/>
      <c r="N105" s="1100"/>
    </row>
    <row r="106" spans="1:14" x14ac:dyDescent="0.3">
      <c r="A106" s="1100"/>
      <c r="B106" s="1100"/>
      <c r="C106" s="1100"/>
      <c r="D106" s="1100"/>
      <c r="E106" s="1100"/>
      <c r="F106" s="1100"/>
      <c r="G106" s="1100"/>
      <c r="H106" s="1100"/>
      <c r="I106" s="1100"/>
      <c r="J106" s="1100"/>
      <c r="K106" s="1100"/>
      <c r="L106" s="1100"/>
      <c r="M106" s="1100"/>
      <c r="N106" s="1100"/>
    </row>
    <row r="107" spans="1:14" x14ac:dyDescent="0.3">
      <c r="A107" s="1100"/>
      <c r="B107" s="1100"/>
      <c r="C107" s="1100"/>
      <c r="D107" s="1100"/>
      <c r="E107" s="1100"/>
      <c r="F107" s="1100"/>
      <c r="G107" s="1100"/>
      <c r="H107" s="1100"/>
      <c r="I107" s="1100"/>
      <c r="J107" s="1100"/>
      <c r="K107" s="1100"/>
      <c r="L107" s="1100"/>
      <c r="M107" s="1100"/>
      <c r="N107" s="1100"/>
    </row>
    <row r="108" spans="1:14" x14ac:dyDescent="0.3">
      <c r="A108" s="1100"/>
      <c r="B108" s="1100"/>
      <c r="C108" s="1100"/>
      <c r="D108" s="1100"/>
      <c r="E108" s="1100"/>
      <c r="F108" s="1100"/>
      <c r="G108" s="1100"/>
      <c r="H108" s="1100"/>
      <c r="I108" s="1100"/>
      <c r="J108" s="1100"/>
      <c r="K108" s="1100"/>
      <c r="L108" s="1100"/>
      <c r="M108" s="1100"/>
      <c r="N108" s="1100"/>
    </row>
    <row r="109" spans="1:14" x14ac:dyDescent="0.3">
      <c r="A109" s="1100"/>
      <c r="B109" s="1100"/>
      <c r="C109" s="1100"/>
      <c r="D109" s="1100"/>
      <c r="E109" s="1100"/>
      <c r="F109" s="1100"/>
      <c r="G109" s="1100"/>
      <c r="H109" s="1100"/>
      <c r="I109" s="1100"/>
      <c r="J109" s="1100"/>
      <c r="K109" s="1100"/>
      <c r="L109" s="1100"/>
      <c r="M109" s="1100"/>
      <c r="N109" s="1100"/>
    </row>
    <row r="110" spans="1:14" x14ac:dyDescent="0.3">
      <c r="A110" s="1100"/>
      <c r="B110" s="1100"/>
      <c r="C110" s="1100"/>
      <c r="D110" s="1100"/>
      <c r="E110" s="1100"/>
      <c r="F110" s="1100"/>
      <c r="G110" s="1100"/>
      <c r="H110" s="1100"/>
      <c r="I110" s="1100"/>
      <c r="J110" s="1100"/>
      <c r="K110" s="1100"/>
      <c r="L110" s="1100"/>
      <c r="M110" s="1100"/>
      <c r="N110" s="1100"/>
    </row>
    <row r="111" spans="1:14" x14ac:dyDescent="0.3">
      <c r="A111" s="1100"/>
      <c r="B111" s="1100"/>
      <c r="C111" s="1100"/>
      <c r="D111" s="1100"/>
      <c r="E111" s="1100"/>
      <c r="F111" s="1100"/>
      <c r="G111" s="1100"/>
      <c r="H111" s="1100"/>
      <c r="I111" s="1100"/>
      <c r="J111" s="1100"/>
      <c r="K111" s="1100"/>
      <c r="L111" s="1100"/>
      <c r="M111" s="1100"/>
      <c r="N111" s="1100"/>
    </row>
    <row r="112" spans="1:14" x14ac:dyDescent="0.3">
      <c r="A112" s="1100"/>
      <c r="B112" s="1100"/>
      <c r="C112" s="1100"/>
      <c r="D112" s="1100"/>
      <c r="E112" s="1100"/>
      <c r="F112" s="1100"/>
      <c r="G112" s="1100"/>
      <c r="H112" s="1100"/>
      <c r="I112" s="1100"/>
      <c r="J112" s="1100"/>
      <c r="K112" s="1100"/>
      <c r="L112" s="1100"/>
      <c r="M112" s="1100"/>
      <c r="N112" s="1100"/>
    </row>
    <row r="113" spans="1:14" x14ac:dyDescent="0.3">
      <c r="A113" s="1100"/>
      <c r="B113" s="1100"/>
      <c r="C113" s="1100"/>
      <c r="D113" s="1100"/>
      <c r="E113" s="1100"/>
      <c r="F113" s="1100"/>
      <c r="G113" s="1100"/>
      <c r="H113" s="1100"/>
      <c r="I113" s="1100"/>
      <c r="J113" s="1100"/>
      <c r="K113" s="1100"/>
      <c r="L113" s="1100"/>
      <c r="M113" s="1100"/>
      <c r="N113" s="1100"/>
    </row>
    <row r="114" spans="1:14" x14ac:dyDescent="0.3">
      <c r="A114" s="1100"/>
      <c r="B114" s="1100"/>
      <c r="C114" s="1100"/>
      <c r="D114" s="1100"/>
      <c r="E114" s="1100"/>
      <c r="F114" s="1100"/>
      <c r="G114" s="1100"/>
      <c r="H114" s="1100"/>
      <c r="I114" s="1100"/>
      <c r="J114" s="1100"/>
      <c r="K114" s="1100"/>
      <c r="L114" s="1100"/>
      <c r="M114" s="1100"/>
      <c r="N114" s="1100"/>
    </row>
    <row r="115" spans="1:14" x14ac:dyDescent="0.3">
      <c r="A115" s="1100"/>
      <c r="B115" s="1100"/>
      <c r="C115" s="1100"/>
      <c r="D115" s="1100"/>
      <c r="E115" s="1100"/>
      <c r="F115" s="1100"/>
      <c r="G115" s="1100"/>
      <c r="H115" s="1100"/>
      <c r="I115" s="1100"/>
      <c r="J115" s="1100"/>
      <c r="K115" s="1100"/>
      <c r="L115" s="1100"/>
      <c r="M115" s="1100"/>
      <c r="N115" s="1100"/>
    </row>
    <row r="116" spans="1:14" x14ac:dyDescent="0.3">
      <c r="A116" s="1100"/>
      <c r="B116" s="1100"/>
      <c r="C116" s="1100"/>
      <c r="D116" s="1100"/>
      <c r="E116" s="1100"/>
      <c r="F116" s="1100"/>
      <c r="G116" s="1100"/>
      <c r="H116" s="1100"/>
      <c r="I116" s="1100"/>
      <c r="J116" s="1100"/>
      <c r="K116" s="1100"/>
      <c r="L116" s="1100"/>
      <c r="M116" s="1100"/>
      <c r="N116" s="1100"/>
    </row>
    <row r="117" spans="1:14" x14ac:dyDescent="0.3">
      <c r="A117" s="1100"/>
      <c r="B117" s="1100"/>
      <c r="C117" s="1100"/>
      <c r="D117" s="1100"/>
      <c r="E117" s="1100"/>
      <c r="F117" s="1100"/>
      <c r="G117" s="1100"/>
      <c r="H117" s="1100"/>
      <c r="I117" s="1100"/>
      <c r="J117" s="1100"/>
      <c r="K117" s="1100"/>
      <c r="L117" s="1100"/>
      <c r="M117" s="1100"/>
      <c r="N117" s="1100"/>
    </row>
    <row r="118" spans="1:14" x14ac:dyDescent="0.3">
      <c r="A118" s="1100"/>
      <c r="B118" s="1100"/>
      <c r="C118" s="1100"/>
      <c r="D118" s="1100"/>
      <c r="E118" s="1100"/>
      <c r="F118" s="1100"/>
      <c r="G118" s="1100"/>
      <c r="H118" s="1100"/>
      <c r="I118" s="1100"/>
      <c r="J118" s="1100"/>
      <c r="K118" s="1100"/>
      <c r="L118" s="1100"/>
      <c r="M118" s="1100"/>
      <c r="N118" s="1100"/>
    </row>
    <row r="119" spans="1:14" x14ac:dyDescent="0.3">
      <c r="A119" s="1100"/>
      <c r="B119" s="1100"/>
      <c r="C119" s="1100"/>
      <c r="D119" s="1100"/>
      <c r="E119" s="1100"/>
      <c r="F119" s="1100"/>
      <c r="G119" s="1100"/>
      <c r="H119" s="1100"/>
      <c r="I119" s="1100"/>
      <c r="J119" s="1100"/>
      <c r="K119" s="1100"/>
      <c r="L119" s="1100"/>
      <c r="M119" s="1100"/>
      <c r="N119" s="1100"/>
    </row>
    <row r="120" spans="1:14" x14ac:dyDescent="0.3">
      <c r="A120" s="1100"/>
      <c r="B120" s="1100"/>
      <c r="C120" s="1100"/>
      <c r="D120" s="1100"/>
      <c r="E120" s="1100"/>
      <c r="F120" s="1100"/>
      <c r="G120" s="1100"/>
      <c r="H120" s="1100"/>
      <c r="I120" s="1100"/>
      <c r="J120" s="1100"/>
      <c r="K120" s="1100"/>
      <c r="L120" s="1100"/>
      <c r="M120" s="1100"/>
      <c r="N120" s="1100"/>
    </row>
    <row r="121" spans="1:14" x14ac:dyDescent="0.3">
      <c r="A121" s="1100"/>
      <c r="B121" s="1100"/>
      <c r="C121" s="1100"/>
      <c r="D121" s="1100"/>
      <c r="E121" s="1100"/>
      <c r="F121" s="1100"/>
      <c r="G121" s="1100"/>
      <c r="H121" s="1100"/>
      <c r="I121" s="1100"/>
      <c r="J121" s="1100"/>
      <c r="K121" s="1100"/>
      <c r="L121" s="1100"/>
      <c r="M121" s="1100"/>
      <c r="N121" s="1100"/>
    </row>
    <row r="122" spans="1:14" x14ac:dyDescent="0.3">
      <c r="A122" s="1100"/>
      <c r="B122" s="1100"/>
      <c r="C122" s="1100"/>
      <c r="D122" s="1100"/>
      <c r="E122" s="1100"/>
      <c r="F122" s="1100"/>
      <c r="G122" s="1100"/>
      <c r="H122" s="1100"/>
      <c r="I122" s="1100"/>
      <c r="J122" s="1100"/>
      <c r="K122" s="1100"/>
      <c r="L122" s="1100"/>
      <c r="M122" s="1100"/>
      <c r="N122" s="1100"/>
    </row>
    <row r="123" spans="1:14" x14ac:dyDescent="0.3">
      <c r="A123" s="1100"/>
      <c r="B123" s="1100"/>
      <c r="C123" s="1100"/>
      <c r="D123" s="1100"/>
      <c r="E123" s="1100"/>
      <c r="F123" s="1100"/>
      <c r="G123" s="1100"/>
      <c r="H123" s="1100"/>
      <c r="I123" s="1100"/>
      <c r="J123" s="1100"/>
      <c r="K123" s="1100"/>
      <c r="L123" s="1100"/>
      <c r="M123" s="1100"/>
      <c r="N123" s="1100"/>
    </row>
    <row r="124" spans="1:14" x14ac:dyDescent="0.3">
      <c r="A124" s="1100"/>
      <c r="B124" s="1100"/>
      <c r="C124" s="1100"/>
      <c r="D124" s="1100"/>
      <c r="E124" s="1100"/>
      <c r="F124" s="1100"/>
      <c r="G124" s="1100"/>
      <c r="H124" s="1100"/>
      <c r="I124" s="1100"/>
      <c r="J124" s="1100"/>
      <c r="K124" s="1100"/>
      <c r="L124" s="1100"/>
      <c r="M124" s="1100"/>
      <c r="N124" s="1100"/>
    </row>
    <row r="125" spans="1:14" x14ac:dyDescent="0.3">
      <c r="A125" s="1100"/>
      <c r="B125" s="1100"/>
      <c r="C125" s="1100"/>
      <c r="D125" s="1100"/>
      <c r="E125" s="1100"/>
      <c r="F125" s="1100"/>
      <c r="G125" s="1100"/>
      <c r="H125" s="1100"/>
      <c r="I125" s="1100"/>
      <c r="J125" s="1100"/>
      <c r="K125" s="1100"/>
      <c r="L125" s="1100"/>
      <c r="M125" s="1100"/>
      <c r="N125" s="1100"/>
    </row>
    <row r="126" spans="1:14" x14ac:dyDescent="0.3">
      <c r="A126" s="1100"/>
      <c r="B126" s="1100"/>
      <c r="C126" s="1100"/>
      <c r="D126" s="1100"/>
      <c r="E126" s="1100"/>
      <c r="F126" s="1100"/>
      <c r="G126" s="1100"/>
      <c r="H126" s="1100"/>
      <c r="I126" s="1100"/>
      <c r="J126" s="1100"/>
      <c r="K126" s="1100"/>
      <c r="L126" s="1100"/>
      <c r="M126" s="1100"/>
      <c r="N126" s="1100"/>
    </row>
    <row r="127" spans="1:14" x14ac:dyDescent="0.3">
      <c r="A127" s="1100"/>
      <c r="B127" s="1100"/>
      <c r="C127" s="1100"/>
      <c r="D127" s="1100"/>
      <c r="E127" s="1100"/>
      <c r="F127" s="1100"/>
      <c r="G127" s="1100"/>
      <c r="H127" s="1100"/>
      <c r="I127" s="1100"/>
      <c r="J127" s="1100"/>
      <c r="K127" s="1100"/>
      <c r="L127" s="1100"/>
      <c r="M127" s="1100"/>
      <c r="N127" s="1100"/>
    </row>
    <row r="128" spans="1:14" x14ac:dyDescent="0.3">
      <c r="A128" s="1100"/>
      <c r="B128" s="1100"/>
      <c r="C128" s="1100"/>
      <c r="D128" s="1100"/>
      <c r="E128" s="1100"/>
      <c r="F128" s="1100"/>
      <c r="G128" s="1100"/>
      <c r="H128" s="1100"/>
      <c r="I128" s="1100"/>
      <c r="J128" s="1100"/>
      <c r="K128" s="1100"/>
      <c r="L128" s="1100"/>
      <c r="M128" s="1100"/>
      <c r="N128" s="1100"/>
    </row>
    <row r="129" spans="1:14" x14ac:dyDescent="0.3">
      <c r="A129" s="1100"/>
      <c r="B129" s="1100"/>
      <c r="C129" s="1100"/>
      <c r="D129" s="1100"/>
      <c r="E129" s="1100"/>
      <c r="F129" s="1100"/>
      <c r="G129" s="1100"/>
      <c r="H129" s="1100"/>
      <c r="I129" s="1100"/>
      <c r="J129" s="1100"/>
      <c r="K129" s="1100"/>
      <c r="L129" s="1100"/>
      <c r="M129" s="1100"/>
      <c r="N129" s="1100"/>
    </row>
    <row r="130" spans="1:14" x14ac:dyDescent="0.3">
      <c r="A130" s="1100"/>
      <c r="B130" s="1100"/>
      <c r="C130" s="1100"/>
      <c r="D130" s="1100"/>
      <c r="E130" s="1100"/>
      <c r="F130" s="1100"/>
      <c r="G130" s="1100"/>
      <c r="H130" s="1100"/>
      <c r="I130" s="1100"/>
      <c r="J130" s="1100"/>
      <c r="K130" s="1100"/>
      <c r="L130" s="1100"/>
      <c r="M130" s="1100"/>
      <c r="N130" s="1100"/>
    </row>
    <row r="131" spans="1:14" x14ac:dyDescent="0.3">
      <c r="A131" s="1100"/>
      <c r="B131" s="1100"/>
      <c r="C131" s="1100"/>
      <c r="D131" s="1100"/>
      <c r="E131" s="1100"/>
      <c r="F131" s="1100"/>
      <c r="G131" s="1100"/>
      <c r="H131" s="1100"/>
      <c r="I131" s="1100"/>
      <c r="J131" s="1100"/>
      <c r="K131" s="1100"/>
      <c r="L131" s="1100"/>
      <c r="M131" s="1100"/>
      <c r="N131" s="1100"/>
    </row>
    <row r="132" spans="1:14" x14ac:dyDescent="0.3">
      <c r="A132" s="1100"/>
      <c r="B132" s="1100"/>
      <c r="C132" s="1100"/>
      <c r="D132" s="1100"/>
      <c r="E132" s="1100"/>
      <c r="F132" s="1100"/>
      <c r="G132" s="1100"/>
      <c r="H132" s="1100"/>
      <c r="I132" s="1100"/>
      <c r="J132" s="1100"/>
      <c r="K132" s="1100"/>
      <c r="L132" s="1100"/>
      <c r="M132" s="1100"/>
      <c r="N132" s="1100"/>
    </row>
    <row r="133" spans="1:14" x14ac:dyDescent="0.3">
      <c r="A133" s="1100"/>
      <c r="B133" s="1100"/>
      <c r="C133" s="1100"/>
      <c r="D133" s="1100"/>
      <c r="E133" s="1100"/>
      <c r="F133" s="1100"/>
      <c r="G133" s="1100"/>
      <c r="H133" s="1100"/>
      <c r="I133" s="1100"/>
      <c r="J133" s="1100"/>
      <c r="K133" s="1100"/>
      <c r="L133" s="1100"/>
      <c r="M133" s="1100"/>
      <c r="N133" s="1100"/>
    </row>
    <row r="134" spans="1:14" x14ac:dyDescent="0.3">
      <c r="A134" s="1100"/>
      <c r="B134" s="1100"/>
      <c r="C134" s="1100"/>
      <c r="D134" s="1100"/>
      <c r="E134" s="1100"/>
      <c r="F134" s="1100"/>
      <c r="G134" s="1100"/>
      <c r="H134" s="1100"/>
      <c r="I134" s="1100"/>
      <c r="J134" s="1100"/>
      <c r="K134" s="1100"/>
      <c r="L134" s="1100"/>
      <c r="M134" s="1100"/>
      <c r="N134" s="1100"/>
    </row>
    <row r="135" spans="1:14" x14ac:dyDescent="0.3">
      <c r="A135" s="1100"/>
      <c r="B135" s="1100"/>
      <c r="C135" s="1100"/>
      <c r="D135" s="1100"/>
      <c r="E135" s="1100"/>
      <c r="F135" s="1100"/>
      <c r="G135" s="1100"/>
      <c r="H135" s="1100"/>
      <c r="I135" s="1100"/>
      <c r="J135" s="1100"/>
      <c r="K135" s="1100"/>
      <c r="L135" s="1100"/>
      <c r="M135" s="1100"/>
      <c r="N135" s="1100"/>
    </row>
    <row r="136" spans="1:14" x14ac:dyDescent="0.3">
      <c r="A136" s="1100"/>
      <c r="B136" s="1100"/>
      <c r="C136" s="1100"/>
      <c r="D136" s="1100"/>
      <c r="E136" s="1100"/>
      <c r="F136" s="1100"/>
      <c r="G136" s="1100"/>
      <c r="H136" s="1100"/>
      <c r="I136" s="1100"/>
      <c r="J136" s="1100"/>
      <c r="K136" s="1100"/>
      <c r="L136" s="1100"/>
      <c r="M136" s="1100"/>
      <c r="N136" s="1100"/>
    </row>
    <row r="137" spans="1:14" x14ac:dyDescent="0.3">
      <c r="A137" s="1100"/>
      <c r="B137" s="1100"/>
      <c r="C137" s="1100"/>
      <c r="D137" s="1100"/>
      <c r="E137" s="1100"/>
      <c r="F137" s="1100"/>
      <c r="G137" s="1100"/>
      <c r="H137" s="1100"/>
      <c r="I137" s="1100"/>
      <c r="J137" s="1100"/>
      <c r="K137" s="1100"/>
      <c r="L137" s="1100"/>
      <c r="M137" s="1100"/>
      <c r="N137" s="1100"/>
    </row>
    <row r="138" spans="1:14" x14ac:dyDescent="0.3">
      <c r="A138" s="1100"/>
      <c r="B138" s="1100"/>
      <c r="C138" s="1100"/>
      <c r="D138" s="1100"/>
      <c r="E138" s="1100"/>
      <c r="F138" s="1100"/>
      <c r="G138" s="1100"/>
      <c r="H138" s="1100"/>
      <c r="I138" s="1100"/>
      <c r="J138" s="1100"/>
      <c r="K138" s="1100"/>
      <c r="L138" s="1100"/>
      <c r="M138" s="1100"/>
      <c r="N138" s="1100"/>
    </row>
    <row r="139" spans="1:14" x14ac:dyDescent="0.3">
      <c r="A139" s="1100"/>
      <c r="B139" s="1100"/>
      <c r="C139" s="1100"/>
      <c r="D139" s="1100"/>
      <c r="E139" s="1100"/>
      <c r="F139" s="1100"/>
      <c r="G139" s="1100"/>
      <c r="H139" s="1100"/>
      <c r="I139" s="1100"/>
      <c r="J139" s="1100"/>
      <c r="K139" s="1100"/>
      <c r="L139" s="1100"/>
      <c r="M139" s="1100"/>
      <c r="N139" s="1100"/>
    </row>
    <row r="140" spans="1:14" x14ac:dyDescent="0.3">
      <c r="A140" s="1100"/>
      <c r="B140" s="1100"/>
      <c r="C140" s="1100"/>
      <c r="D140" s="1100"/>
      <c r="E140" s="1100"/>
      <c r="F140" s="1100"/>
      <c r="G140" s="1100"/>
      <c r="H140" s="1100"/>
      <c r="I140" s="1100"/>
      <c r="J140" s="1100"/>
      <c r="K140" s="1100"/>
      <c r="L140" s="1100"/>
      <c r="M140" s="1100"/>
      <c r="N140" s="1100"/>
    </row>
    <row r="141" spans="1:14" x14ac:dyDescent="0.3">
      <c r="A141" s="1100"/>
      <c r="B141" s="1100"/>
      <c r="C141" s="1100"/>
      <c r="D141" s="1100"/>
      <c r="E141" s="1100"/>
      <c r="F141" s="1100"/>
      <c r="G141" s="1100"/>
      <c r="H141" s="1100"/>
      <c r="I141" s="1100"/>
      <c r="J141" s="1100"/>
      <c r="K141" s="1100"/>
      <c r="L141" s="1100"/>
      <c r="M141" s="1100"/>
      <c r="N141" s="1100"/>
    </row>
    <row r="142" spans="1:14" x14ac:dyDescent="0.3">
      <c r="A142" s="1100"/>
      <c r="B142" s="1100"/>
      <c r="C142" s="1100"/>
      <c r="D142" s="1100"/>
      <c r="E142" s="1100"/>
      <c r="F142" s="1100"/>
      <c r="G142" s="1100"/>
      <c r="H142" s="1100"/>
      <c r="I142" s="1100"/>
      <c r="J142" s="1100"/>
      <c r="K142" s="1100"/>
      <c r="L142" s="1100"/>
      <c r="M142" s="1100"/>
      <c r="N142" s="1100"/>
    </row>
    <row r="143" spans="1:14" x14ac:dyDescent="0.3">
      <c r="A143" s="1100"/>
      <c r="B143" s="1100"/>
      <c r="C143" s="1100"/>
      <c r="D143" s="1100"/>
      <c r="E143" s="1100"/>
      <c r="F143" s="1100"/>
      <c r="G143" s="1100"/>
      <c r="H143" s="1100"/>
      <c r="I143" s="1100"/>
      <c r="J143" s="1100"/>
      <c r="K143" s="1100"/>
      <c r="L143" s="1100"/>
      <c r="M143" s="1100"/>
      <c r="N143" s="1100"/>
    </row>
    <row r="144" spans="1:14" x14ac:dyDescent="0.3">
      <c r="A144" s="1100"/>
      <c r="B144" s="1100"/>
      <c r="C144" s="1100"/>
      <c r="D144" s="1100"/>
      <c r="E144" s="1100"/>
      <c r="F144" s="1100"/>
      <c r="G144" s="1100"/>
      <c r="H144" s="1100"/>
      <c r="I144" s="1100"/>
      <c r="J144" s="1100"/>
      <c r="K144" s="1100"/>
      <c r="L144" s="1100"/>
      <c r="M144" s="1100"/>
      <c r="N144" s="1100"/>
    </row>
    <row r="145" spans="1:14" x14ac:dyDescent="0.3">
      <c r="A145" s="1100"/>
      <c r="B145" s="1100"/>
      <c r="C145" s="1100"/>
      <c r="D145" s="1100"/>
      <c r="E145" s="1100"/>
      <c r="F145" s="1100"/>
      <c r="G145" s="1100"/>
      <c r="H145" s="1100"/>
      <c r="I145" s="1100"/>
      <c r="J145" s="1100"/>
      <c r="K145" s="1100"/>
      <c r="L145" s="1100"/>
      <c r="M145" s="1100"/>
      <c r="N145" s="1100"/>
    </row>
    <row r="146" spans="1:14" x14ac:dyDescent="0.3">
      <c r="A146" s="1100"/>
      <c r="B146" s="1100"/>
      <c r="C146" s="1100"/>
      <c r="D146" s="1100"/>
      <c r="E146" s="1100"/>
      <c r="F146" s="1100"/>
      <c r="G146" s="1100"/>
      <c r="H146" s="1100"/>
      <c r="I146" s="1100"/>
      <c r="J146" s="1100"/>
      <c r="K146" s="1100"/>
      <c r="L146" s="1100"/>
      <c r="M146" s="1100"/>
      <c r="N146" s="1100"/>
    </row>
    <row r="147" spans="1:14" x14ac:dyDescent="0.3">
      <c r="A147" s="1100"/>
      <c r="B147" s="1100"/>
      <c r="C147" s="1100"/>
      <c r="D147" s="1100"/>
      <c r="E147" s="1100"/>
      <c r="F147" s="1100"/>
      <c r="G147" s="1100"/>
      <c r="H147" s="1100"/>
      <c r="I147" s="1100"/>
      <c r="J147" s="1100"/>
      <c r="K147" s="1100"/>
      <c r="L147" s="1100"/>
      <c r="M147" s="1100"/>
      <c r="N147" s="1100"/>
    </row>
    <row r="148" spans="1:14" x14ac:dyDescent="0.3">
      <c r="A148" s="1100"/>
      <c r="B148" s="1100"/>
      <c r="C148" s="1100"/>
      <c r="D148" s="1100"/>
      <c r="E148" s="1100"/>
      <c r="F148" s="1100"/>
      <c r="G148" s="1100"/>
      <c r="H148" s="1100"/>
      <c r="I148" s="1100"/>
      <c r="J148" s="1100"/>
      <c r="K148" s="1100"/>
      <c r="L148" s="1100"/>
      <c r="M148" s="1100"/>
      <c r="N148" s="1100"/>
    </row>
    <row r="149" spans="1:14" x14ac:dyDescent="0.3">
      <c r="A149" s="1100"/>
      <c r="B149" s="1100"/>
      <c r="C149" s="1100"/>
      <c r="D149" s="1100"/>
      <c r="E149" s="1100"/>
      <c r="F149" s="1100"/>
      <c r="G149" s="1100"/>
      <c r="H149" s="1100"/>
      <c r="I149" s="1100"/>
      <c r="J149" s="1100"/>
      <c r="K149" s="1100"/>
      <c r="L149" s="1100"/>
      <c r="M149" s="1100"/>
      <c r="N149" s="1100"/>
    </row>
    <row r="150" spans="1:14" x14ac:dyDescent="0.3">
      <c r="A150" s="1100"/>
      <c r="B150" s="1100"/>
      <c r="C150" s="1100"/>
      <c r="D150" s="1100"/>
      <c r="E150" s="1100"/>
      <c r="F150" s="1100"/>
      <c r="G150" s="1100"/>
      <c r="H150" s="1100"/>
      <c r="I150" s="1100"/>
      <c r="J150" s="1100"/>
      <c r="K150" s="1100"/>
      <c r="L150" s="1100"/>
      <c r="M150" s="1100"/>
      <c r="N150" s="1100"/>
    </row>
    <row r="151" spans="1:14" x14ac:dyDescent="0.3">
      <c r="A151" s="1100"/>
      <c r="B151" s="1100"/>
      <c r="C151" s="1100"/>
      <c r="D151" s="1100"/>
      <c r="E151" s="1100"/>
      <c r="F151" s="1100"/>
      <c r="G151" s="1100"/>
      <c r="H151" s="1100"/>
      <c r="I151" s="1100"/>
      <c r="J151" s="1100"/>
      <c r="K151" s="1100"/>
      <c r="L151" s="1100"/>
      <c r="M151" s="1100"/>
      <c r="N151" s="1100"/>
    </row>
    <row r="152" spans="1:14" x14ac:dyDescent="0.3">
      <c r="A152" s="1100"/>
      <c r="B152" s="1100"/>
      <c r="C152" s="1100"/>
      <c r="D152" s="1100"/>
      <c r="E152" s="1100"/>
      <c r="F152" s="1100"/>
      <c r="G152" s="1100"/>
      <c r="H152" s="1100"/>
      <c r="I152" s="1100"/>
      <c r="J152" s="1100"/>
      <c r="K152" s="1100"/>
      <c r="L152" s="1100"/>
      <c r="M152" s="1100"/>
      <c r="N152" s="1100"/>
    </row>
    <row r="153" spans="1:14" x14ac:dyDescent="0.3">
      <c r="A153" s="1100"/>
      <c r="B153" s="1100"/>
      <c r="C153" s="1100"/>
      <c r="D153" s="1100"/>
      <c r="E153" s="1100"/>
      <c r="F153" s="1100"/>
      <c r="G153" s="1100"/>
      <c r="H153" s="1100"/>
      <c r="I153" s="1100"/>
      <c r="J153" s="1100"/>
      <c r="K153" s="1100"/>
      <c r="L153" s="1100"/>
      <c r="M153" s="1100"/>
      <c r="N153" s="1100"/>
    </row>
    <row r="154" spans="1:14" x14ac:dyDescent="0.3">
      <c r="A154" s="1100"/>
      <c r="B154" s="1100"/>
      <c r="C154" s="1100"/>
      <c r="D154" s="1100"/>
      <c r="E154" s="1100"/>
      <c r="F154" s="1100"/>
      <c r="G154" s="1100"/>
      <c r="H154" s="1100"/>
      <c r="I154" s="1100"/>
      <c r="J154" s="1100"/>
      <c r="K154" s="1100"/>
      <c r="L154" s="1100"/>
      <c r="M154" s="1100"/>
      <c r="N154" s="1100"/>
    </row>
    <row r="155" spans="1:14" x14ac:dyDescent="0.3">
      <c r="A155" s="1100"/>
      <c r="B155" s="1100"/>
      <c r="C155" s="1100"/>
      <c r="D155" s="1100"/>
      <c r="E155" s="1100"/>
      <c r="F155" s="1100"/>
      <c r="G155" s="1100"/>
      <c r="H155" s="1100"/>
      <c r="I155" s="1100"/>
      <c r="J155" s="1100"/>
      <c r="K155" s="1100"/>
      <c r="L155" s="1100"/>
      <c r="M155" s="1100"/>
      <c r="N155" s="1100"/>
    </row>
    <row r="156" spans="1:14" x14ac:dyDescent="0.3">
      <c r="A156" s="1100"/>
      <c r="B156" s="1100"/>
      <c r="C156" s="1100"/>
      <c r="D156" s="1100"/>
      <c r="E156" s="1100"/>
      <c r="F156" s="1100"/>
      <c r="G156" s="1100"/>
      <c r="H156" s="1100"/>
      <c r="I156" s="1100"/>
      <c r="J156" s="1100"/>
      <c r="K156" s="1100"/>
      <c r="L156" s="1100"/>
      <c r="M156" s="1100"/>
      <c r="N156" s="1100"/>
    </row>
    <row r="157" spans="1:14" x14ac:dyDescent="0.3">
      <c r="A157" s="1100"/>
      <c r="B157" s="1100"/>
      <c r="C157" s="1100"/>
      <c r="D157" s="1100"/>
      <c r="E157" s="1100"/>
      <c r="F157" s="1100"/>
      <c r="G157" s="1100"/>
      <c r="H157" s="1100"/>
      <c r="I157" s="1100"/>
      <c r="J157" s="1100"/>
      <c r="K157" s="1100"/>
      <c r="L157" s="1100"/>
      <c r="M157" s="1100"/>
      <c r="N157" s="1100"/>
    </row>
    <row r="158" spans="1:14" x14ac:dyDescent="0.3">
      <c r="A158" s="1100"/>
      <c r="B158" s="1100"/>
      <c r="C158" s="1100"/>
      <c r="D158" s="1100"/>
      <c r="E158" s="1100"/>
      <c r="F158" s="1100"/>
      <c r="G158" s="1100"/>
      <c r="H158" s="1100"/>
      <c r="I158" s="1100"/>
      <c r="J158" s="1100"/>
      <c r="K158" s="1100"/>
      <c r="L158" s="1100"/>
      <c r="M158" s="1100"/>
      <c r="N158" s="1100"/>
    </row>
    <row r="159" spans="1:14" x14ac:dyDescent="0.3">
      <c r="A159" s="1100"/>
      <c r="B159" s="1100"/>
      <c r="C159" s="1100"/>
      <c r="D159" s="1100"/>
      <c r="E159" s="1100"/>
      <c r="F159" s="1100"/>
      <c r="G159" s="1100"/>
      <c r="H159" s="1100"/>
      <c r="I159" s="1100"/>
      <c r="J159" s="1100"/>
      <c r="K159" s="1100"/>
      <c r="L159" s="1100"/>
      <c r="M159" s="1100"/>
      <c r="N159" s="1100"/>
    </row>
    <row r="160" spans="1:14" x14ac:dyDescent="0.3">
      <c r="A160" s="1100"/>
      <c r="B160" s="1100"/>
      <c r="C160" s="1100"/>
      <c r="D160" s="1100"/>
      <c r="E160" s="1100"/>
      <c r="F160" s="1100"/>
      <c r="G160" s="1100"/>
      <c r="H160" s="1100"/>
      <c r="I160" s="1100"/>
      <c r="J160" s="1100"/>
      <c r="K160" s="1100"/>
      <c r="L160" s="1100"/>
      <c r="M160" s="1100"/>
      <c r="N160" s="1100"/>
    </row>
    <row r="161" spans="1:14" x14ac:dyDescent="0.3">
      <c r="A161" s="1100"/>
      <c r="B161" s="1100"/>
      <c r="C161" s="1100"/>
      <c r="D161" s="1100"/>
      <c r="E161" s="1100"/>
      <c r="F161" s="1100"/>
      <c r="G161" s="1100"/>
      <c r="H161" s="1100"/>
      <c r="I161" s="1100"/>
      <c r="J161" s="1100"/>
      <c r="K161" s="1100"/>
      <c r="L161" s="1100"/>
      <c r="M161" s="1100"/>
      <c r="N161" s="1100"/>
    </row>
    <row r="162" spans="1:14" x14ac:dyDescent="0.3">
      <c r="A162" s="1100"/>
      <c r="B162" s="1100"/>
      <c r="C162" s="1100"/>
      <c r="D162" s="1100"/>
      <c r="E162" s="1100"/>
      <c r="F162" s="1100"/>
      <c r="G162" s="1100"/>
      <c r="H162" s="1100"/>
      <c r="I162" s="1100"/>
      <c r="J162" s="1100"/>
      <c r="K162" s="1100"/>
      <c r="L162" s="1100"/>
      <c r="M162" s="1100"/>
      <c r="N162" s="1100"/>
    </row>
    <row r="163" spans="1:14" x14ac:dyDescent="0.3">
      <c r="A163" s="1100"/>
      <c r="B163" s="1100"/>
      <c r="C163" s="1100"/>
      <c r="D163" s="1100"/>
      <c r="E163" s="1100"/>
      <c r="F163" s="1100"/>
      <c r="G163" s="1100"/>
      <c r="H163" s="1100"/>
      <c r="I163" s="1100"/>
      <c r="J163" s="1100"/>
      <c r="K163" s="1100"/>
      <c r="L163" s="1100"/>
      <c r="M163" s="1100"/>
      <c r="N163" s="1100"/>
    </row>
    <row r="164" spans="1:14" x14ac:dyDescent="0.3">
      <c r="A164" s="1100"/>
      <c r="B164" s="1100"/>
      <c r="C164" s="1100"/>
      <c r="D164" s="1100"/>
      <c r="E164" s="1100"/>
      <c r="F164" s="1100"/>
      <c r="G164" s="1100"/>
      <c r="H164" s="1100"/>
      <c r="I164" s="1100"/>
      <c r="J164" s="1100"/>
      <c r="K164" s="1100"/>
      <c r="L164" s="1100"/>
      <c r="M164" s="1100"/>
      <c r="N164" s="1100"/>
    </row>
    <row r="165" spans="1:14" x14ac:dyDescent="0.3">
      <c r="A165" s="1100"/>
      <c r="B165" s="1100"/>
      <c r="C165" s="1100"/>
      <c r="D165" s="1100"/>
      <c r="E165" s="1100"/>
      <c r="F165" s="1100"/>
      <c r="G165" s="1100"/>
      <c r="H165" s="1100"/>
      <c r="I165" s="1100"/>
      <c r="J165" s="1100"/>
      <c r="K165" s="1100"/>
      <c r="L165" s="1100"/>
      <c r="M165" s="1100"/>
      <c r="N165" s="1100"/>
    </row>
    <row r="166" spans="1:14" x14ac:dyDescent="0.3">
      <c r="A166" s="1100"/>
      <c r="B166" s="1100"/>
      <c r="C166" s="1100"/>
      <c r="D166" s="1100"/>
      <c r="E166" s="1100"/>
      <c r="F166" s="1100"/>
      <c r="G166" s="1100"/>
      <c r="H166" s="1100"/>
      <c r="I166" s="1100"/>
      <c r="J166" s="1100"/>
      <c r="K166" s="1100"/>
      <c r="L166" s="1100"/>
      <c r="M166" s="1100"/>
      <c r="N166" s="1100"/>
    </row>
    <row r="167" spans="1:14" x14ac:dyDescent="0.3">
      <c r="A167" s="1100"/>
      <c r="B167" s="1100"/>
      <c r="C167" s="1100"/>
      <c r="D167" s="1100"/>
      <c r="E167" s="1100"/>
      <c r="F167" s="1100"/>
      <c r="G167" s="1100"/>
      <c r="H167" s="1100"/>
      <c r="I167" s="1100"/>
      <c r="J167" s="1100"/>
      <c r="K167" s="1100"/>
      <c r="L167" s="1100"/>
      <c r="M167" s="1100"/>
      <c r="N167" s="1100"/>
    </row>
    <row r="168" spans="1:14" x14ac:dyDescent="0.3">
      <c r="A168" s="1100"/>
      <c r="B168" s="1100"/>
      <c r="C168" s="1100"/>
      <c r="D168" s="1100"/>
      <c r="E168" s="1100"/>
      <c r="F168" s="1100"/>
      <c r="G168" s="1100"/>
      <c r="H168" s="1100"/>
      <c r="I168" s="1100"/>
      <c r="J168" s="1100"/>
      <c r="K168" s="1100"/>
      <c r="L168" s="1100"/>
      <c r="M168" s="1100"/>
      <c r="N168" s="1100"/>
    </row>
    <row r="169" spans="1:14" x14ac:dyDescent="0.3">
      <c r="A169" s="1100"/>
      <c r="B169" s="1100"/>
      <c r="C169" s="1100"/>
      <c r="D169" s="1100"/>
      <c r="E169" s="1100"/>
      <c r="F169" s="1100"/>
      <c r="G169" s="1100"/>
      <c r="H169" s="1100"/>
      <c r="I169" s="1100"/>
      <c r="J169" s="1100"/>
      <c r="K169" s="1100"/>
      <c r="L169" s="1100"/>
      <c r="M169" s="1100"/>
      <c r="N169" s="1100"/>
    </row>
    <row r="170" spans="1:14" x14ac:dyDescent="0.3">
      <c r="A170" s="1100"/>
      <c r="B170" s="1100"/>
      <c r="C170" s="1100"/>
      <c r="D170" s="1100"/>
      <c r="E170" s="1100"/>
      <c r="F170" s="1100"/>
      <c r="G170" s="1100"/>
      <c r="H170" s="1100"/>
      <c r="I170" s="1100"/>
      <c r="J170" s="1100"/>
      <c r="K170" s="1100"/>
      <c r="L170" s="1100"/>
      <c r="M170" s="1100"/>
      <c r="N170" s="1100"/>
    </row>
    <row r="171" spans="1:14" x14ac:dyDescent="0.3">
      <c r="A171" s="1100"/>
      <c r="B171" s="1100"/>
      <c r="C171" s="1100"/>
      <c r="D171" s="1100"/>
      <c r="E171" s="1100"/>
      <c r="F171" s="1100"/>
      <c r="G171" s="1100"/>
      <c r="H171" s="1100"/>
      <c r="I171" s="1100"/>
      <c r="J171" s="1100"/>
      <c r="K171" s="1100"/>
      <c r="L171" s="1100"/>
      <c r="M171" s="1100"/>
      <c r="N171" s="1100"/>
    </row>
    <row r="172" spans="1:14" x14ac:dyDescent="0.3">
      <c r="A172" s="1100"/>
      <c r="B172" s="1100"/>
      <c r="C172" s="1100"/>
      <c r="D172" s="1100"/>
      <c r="E172" s="1100"/>
      <c r="F172" s="1100"/>
      <c r="G172" s="1100"/>
      <c r="H172" s="1100"/>
      <c r="I172" s="1100"/>
      <c r="J172" s="1100"/>
      <c r="K172" s="1100"/>
      <c r="L172" s="1100"/>
      <c r="M172" s="1100"/>
      <c r="N172" s="1100"/>
    </row>
    <row r="173" spans="1:14" x14ac:dyDescent="0.3">
      <c r="A173" s="1100"/>
      <c r="B173" s="1100"/>
      <c r="C173" s="1100"/>
      <c r="D173" s="1100"/>
      <c r="E173" s="1100"/>
      <c r="F173" s="1100"/>
      <c r="G173" s="1100"/>
      <c r="H173" s="1100"/>
      <c r="I173" s="1100"/>
      <c r="J173" s="1100"/>
      <c r="K173" s="1100"/>
      <c r="L173" s="1100"/>
      <c r="M173" s="1100"/>
      <c r="N173" s="1100"/>
    </row>
    <row r="174" spans="1:14" x14ac:dyDescent="0.3">
      <c r="A174" s="1100"/>
      <c r="B174" s="1100"/>
      <c r="C174" s="1100"/>
      <c r="D174" s="1100"/>
      <c r="E174" s="1100"/>
      <c r="F174" s="1100"/>
      <c r="G174" s="1100"/>
      <c r="H174" s="1100"/>
      <c r="I174" s="1100"/>
      <c r="J174" s="1100"/>
      <c r="K174" s="1100"/>
      <c r="L174" s="1100"/>
      <c r="M174" s="1100"/>
      <c r="N174" s="1100"/>
    </row>
    <row r="175" spans="1:14" x14ac:dyDescent="0.3">
      <c r="A175" s="1100"/>
      <c r="B175" s="1100"/>
      <c r="C175" s="1100"/>
      <c r="D175" s="1100"/>
      <c r="E175" s="1100"/>
      <c r="F175" s="1100"/>
      <c r="G175" s="1100"/>
      <c r="H175" s="1100"/>
      <c r="I175" s="1100"/>
      <c r="J175" s="1100"/>
      <c r="K175" s="1100"/>
      <c r="L175" s="1100"/>
      <c r="M175" s="1100"/>
      <c r="N175" s="1100"/>
    </row>
    <row r="176" spans="1:14" x14ac:dyDescent="0.3">
      <c r="A176" s="1100"/>
      <c r="B176" s="1100"/>
      <c r="C176" s="1100"/>
      <c r="D176" s="1100"/>
      <c r="E176" s="1100"/>
      <c r="F176" s="1100"/>
      <c r="G176" s="1100"/>
      <c r="H176" s="1100"/>
      <c r="I176" s="1100"/>
      <c r="J176" s="1100"/>
      <c r="K176" s="1100"/>
      <c r="L176" s="1100"/>
      <c r="M176" s="1100"/>
      <c r="N176" s="1100"/>
    </row>
    <row r="177" spans="1:14" x14ac:dyDescent="0.3">
      <c r="A177" s="1100"/>
      <c r="B177" s="1100"/>
      <c r="C177" s="1100"/>
      <c r="D177" s="1100"/>
      <c r="E177" s="1100"/>
      <c r="F177" s="1100"/>
      <c r="G177" s="1100"/>
      <c r="H177" s="1100"/>
      <c r="I177" s="1100"/>
      <c r="J177" s="1100"/>
      <c r="K177" s="1100"/>
      <c r="L177" s="1100"/>
      <c r="M177" s="1100"/>
      <c r="N177" s="1100"/>
    </row>
    <row r="178" spans="1:14" x14ac:dyDescent="0.3">
      <c r="A178" s="1100"/>
      <c r="B178" s="1100"/>
      <c r="C178" s="1100"/>
      <c r="D178" s="1100"/>
      <c r="E178" s="1100"/>
      <c r="F178" s="1100"/>
      <c r="G178" s="1100"/>
      <c r="H178" s="1100"/>
      <c r="I178" s="1100"/>
      <c r="J178" s="1100"/>
      <c r="K178" s="1100"/>
      <c r="L178" s="1100"/>
      <c r="M178" s="1100"/>
      <c r="N178" s="1100"/>
    </row>
    <row r="179" spans="1:14" x14ac:dyDescent="0.3">
      <c r="A179" s="1100"/>
      <c r="B179" s="1100"/>
      <c r="C179" s="1100"/>
      <c r="D179" s="1100"/>
      <c r="E179" s="1100"/>
      <c r="F179" s="1100"/>
      <c r="G179" s="1100"/>
      <c r="H179" s="1100"/>
      <c r="I179" s="1100"/>
      <c r="J179" s="1100"/>
      <c r="K179" s="1100"/>
      <c r="L179" s="1100"/>
      <c r="M179" s="1100"/>
      <c r="N179" s="1100"/>
    </row>
    <row r="180" spans="1:14" x14ac:dyDescent="0.3">
      <c r="A180" s="1100"/>
      <c r="B180" s="1100"/>
      <c r="C180" s="1100"/>
      <c r="D180" s="1100"/>
      <c r="E180" s="1100"/>
      <c r="F180" s="1100"/>
      <c r="G180" s="1100"/>
      <c r="H180" s="1100"/>
      <c r="I180" s="1100"/>
      <c r="J180" s="1100"/>
      <c r="K180" s="1100"/>
      <c r="L180" s="1100"/>
      <c r="M180" s="1100"/>
      <c r="N180" s="1100"/>
    </row>
    <row r="181" spans="1:14" x14ac:dyDescent="0.3">
      <c r="A181" s="1100"/>
      <c r="B181" s="1100"/>
      <c r="C181" s="1100"/>
      <c r="D181" s="1100"/>
      <c r="E181" s="1100"/>
      <c r="F181" s="1100"/>
      <c r="G181" s="1100"/>
      <c r="H181" s="1100"/>
      <c r="I181" s="1100"/>
      <c r="J181" s="1100"/>
      <c r="K181" s="1100"/>
      <c r="L181" s="1100"/>
      <c r="M181" s="1100"/>
      <c r="N181" s="1100"/>
    </row>
    <row r="182" spans="1:14" x14ac:dyDescent="0.3">
      <c r="A182" s="1100"/>
      <c r="B182" s="1100"/>
      <c r="C182" s="1100"/>
      <c r="D182" s="1100"/>
      <c r="E182" s="1100"/>
      <c r="F182" s="1100"/>
      <c r="G182" s="1100"/>
      <c r="H182" s="1100"/>
      <c r="I182" s="1100"/>
      <c r="J182" s="1100"/>
      <c r="K182" s="1100"/>
      <c r="L182" s="1100"/>
      <c r="M182" s="1100"/>
      <c r="N182" s="1100"/>
    </row>
    <row r="183" spans="1:14" x14ac:dyDescent="0.3">
      <c r="A183" s="1100"/>
      <c r="B183" s="1100"/>
      <c r="C183" s="1100"/>
      <c r="D183" s="1100"/>
      <c r="E183" s="1100"/>
      <c r="F183" s="1100"/>
      <c r="G183" s="1100"/>
      <c r="H183" s="1100"/>
      <c r="I183" s="1100"/>
      <c r="J183" s="1100"/>
      <c r="K183" s="1100"/>
      <c r="L183" s="1100"/>
      <c r="M183" s="1100"/>
      <c r="N183" s="1100"/>
    </row>
    <row r="184" spans="1:14" x14ac:dyDescent="0.3">
      <c r="A184" s="1100"/>
      <c r="B184" s="1100"/>
      <c r="C184" s="1100"/>
      <c r="D184" s="1100"/>
      <c r="E184" s="1100"/>
      <c r="F184" s="1100"/>
      <c r="G184" s="1100"/>
      <c r="H184" s="1100"/>
      <c r="I184" s="1100"/>
      <c r="J184" s="1100"/>
      <c r="K184" s="1100"/>
      <c r="L184" s="1100"/>
      <c r="M184" s="1100"/>
      <c r="N184" s="1100"/>
    </row>
    <row r="185" spans="1:14" x14ac:dyDescent="0.3">
      <c r="A185" s="1100"/>
      <c r="B185" s="1100"/>
      <c r="C185" s="1100"/>
      <c r="D185" s="1100"/>
      <c r="E185" s="1100"/>
      <c r="F185" s="1100"/>
      <c r="G185" s="1100"/>
      <c r="H185" s="1100"/>
      <c r="I185" s="1100"/>
      <c r="J185" s="1100"/>
      <c r="K185" s="1100"/>
      <c r="L185" s="1100"/>
      <c r="M185" s="1100"/>
      <c r="N185" s="1100"/>
    </row>
    <row r="186" spans="1:14" x14ac:dyDescent="0.3">
      <c r="A186" s="1100"/>
      <c r="B186" s="1100"/>
      <c r="C186" s="1100"/>
      <c r="D186" s="1100"/>
      <c r="E186" s="1100"/>
      <c r="F186" s="1100"/>
      <c r="G186" s="1100"/>
      <c r="H186" s="1100"/>
      <c r="I186" s="1100"/>
      <c r="J186" s="1100"/>
      <c r="K186" s="1100"/>
      <c r="L186" s="1100"/>
      <c r="M186" s="1100"/>
      <c r="N186" s="1100"/>
    </row>
    <row r="187" spans="1:14" x14ac:dyDescent="0.3">
      <c r="A187" s="1100"/>
      <c r="B187" s="1100"/>
      <c r="C187" s="1100"/>
      <c r="D187" s="1100"/>
      <c r="E187" s="1100"/>
      <c r="F187" s="1100"/>
      <c r="G187" s="1100"/>
      <c r="H187" s="1100"/>
      <c r="I187" s="1100"/>
      <c r="J187" s="1100"/>
      <c r="K187" s="1100"/>
      <c r="L187" s="1100"/>
      <c r="M187" s="1100"/>
      <c r="N187" s="1100"/>
    </row>
    <row r="188" spans="1:14" x14ac:dyDescent="0.3">
      <c r="A188" s="1100"/>
      <c r="B188" s="1100"/>
      <c r="C188" s="1100"/>
      <c r="D188" s="1100"/>
      <c r="E188" s="1100"/>
      <c r="F188" s="1100"/>
      <c r="G188" s="1100"/>
      <c r="H188" s="1100"/>
      <c r="I188" s="1100"/>
      <c r="J188" s="1100"/>
      <c r="K188" s="1100"/>
      <c r="L188" s="1100"/>
      <c r="M188" s="1100"/>
      <c r="N188" s="1100"/>
    </row>
    <row r="189" spans="1:14" x14ac:dyDescent="0.3">
      <c r="A189" s="1100"/>
      <c r="B189" s="1100"/>
      <c r="C189" s="1100"/>
      <c r="D189" s="1100"/>
      <c r="E189" s="1100"/>
      <c r="F189" s="1100"/>
      <c r="G189" s="1100"/>
      <c r="H189" s="1100"/>
      <c r="I189" s="1100"/>
      <c r="J189" s="1100"/>
      <c r="K189" s="1100"/>
      <c r="L189" s="1100"/>
      <c r="M189" s="1100"/>
      <c r="N189" s="1100"/>
    </row>
    <row r="190" spans="1:14" x14ac:dyDescent="0.3">
      <c r="A190" s="1100"/>
      <c r="B190" s="1100"/>
      <c r="C190" s="1100"/>
      <c r="D190" s="1100"/>
      <c r="E190" s="1100"/>
      <c r="F190" s="1100"/>
      <c r="G190" s="1100"/>
      <c r="H190" s="1100"/>
      <c r="I190" s="1100"/>
      <c r="J190" s="1100"/>
      <c r="K190" s="1100"/>
      <c r="L190" s="1100"/>
      <c r="M190" s="1100"/>
      <c r="N190" s="1100"/>
    </row>
    <row r="191" spans="1:14" x14ac:dyDescent="0.3">
      <c r="A191" s="1100"/>
      <c r="B191" s="1100"/>
      <c r="C191" s="1100"/>
      <c r="D191" s="1100"/>
      <c r="E191" s="1100"/>
      <c r="F191" s="1100"/>
      <c r="G191" s="1100"/>
      <c r="H191" s="1100"/>
      <c r="I191" s="1100"/>
      <c r="J191" s="1100"/>
      <c r="K191" s="1100"/>
      <c r="L191" s="1100"/>
      <c r="M191" s="1100"/>
      <c r="N191" s="1100"/>
    </row>
    <row r="192" spans="1:14" x14ac:dyDescent="0.3">
      <c r="A192" s="1100"/>
      <c r="B192" s="1100"/>
      <c r="C192" s="1100"/>
      <c r="D192" s="1100"/>
      <c r="E192" s="1100"/>
      <c r="F192" s="1100"/>
      <c r="G192" s="1100"/>
      <c r="H192" s="1100"/>
      <c r="I192" s="1100"/>
      <c r="J192" s="1100"/>
      <c r="K192" s="1100"/>
      <c r="L192" s="1100"/>
      <c r="M192" s="1100"/>
      <c r="N192" s="1100"/>
    </row>
    <row r="193" spans="1:14" x14ac:dyDescent="0.3">
      <c r="A193" s="1100"/>
      <c r="B193" s="1100"/>
      <c r="C193" s="1100"/>
      <c r="D193" s="1100"/>
      <c r="E193" s="1100"/>
      <c r="F193" s="1100"/>
      <c r="G193" s="1100"/>
      <c r="H193" s="1100"/>
      <c r="I193" s="1100"/>
      <c r="J193" s="1100"/>
      <c r="K193" s="1100"/>
      <c r="L193" s="1100"/>
      <c r="M193" s="1100"/>
      <c r="N193" s="1100"/>
    </row>
    <row r="194" spans="1:14" x14ac:dyDescent="0.3">
      <c r="A194" s="1100"/>
      <c r="B194" s="1100"/>
      <c r="C194" s="1100"/>
      <c r="D194" s="1100"/>
      <c r="E194" s="1100"/>
      <c r="F194" s="1100"/>
      <c r="G194" s="1100"/>
      <c r="H194" s="1100"/>
      <c r="I194" s="1100"/>
      <c r="J194" s="1100"/>
      <c r="K194" s="1100"/>
      <c r="L194" s="1100"/>
      <c r="M194" s="1100"/>
      <c r="N194" s="1100"/>
    </row>
    <row r="195" spans="1:14" x14ac:dyDescent="0.3">
      <c r="A195" s="1100"/>
      <c r="B195" s="1100"/>
      <c r="C195" s="1100"/>
      <c r="D195" s="1100"/>
      <c r="E195" s="1100"/>
      <c r="F195" s="1100"/>
      <c r="G195" s="1100"/>
      <c r="H195" s="1100"/>
      <c r="I195" s="1100"/>
      <c r="J195" s="1100"/>
      <c r="K195" s="1100"/>
      <c r="L195" s="1100"/>
      <c r="M195" s="1100"/>
      <c r="N195" s="1100"/>
    </row>
    <row r="196" spans="1:14" x14ac:dyDescent="0.3">
      <c r="A196" s="1100"/>
      <c r="B196" s="1100"/>
      <c r="C196" s="1100"/>
      <c r="D196" s="1100"/>
      <c r="E196" s="1100"/>
      <c r="F196" s="1100"/>
      <c r="G196" s="1100"/>
      <c r="H196" s="1100"/>
      <c r="I196" s="1100"/>
      <c r="J196" s="1100"/>
      <c r="K196" s="1100"/>
      <c r="L196" s="1100"/>
      <c r="M196" s="1100"/>
      <c r="N196" s="1100"/>
    </row>
    <row r="197" spans="1:14" x14ac:dyDescent="0.3">
      <c r="A197" s="1100"/>
      <c r="B197" s="1100"/>
      <c r="C197" s="1100"/>
      <c r="D197" s="1100"/>
      <c r="E197" s="1100"/>
      <c r="F197" s="1100"/>
      <c r="G197" s="1100"/>
      <c r="H197" s="1100"/>
      <c r="I197" s="1100"/>
      <c r="J197" s="1100"/>
      <c r="K197" s="1100"/>
      <c r="L197" s="1100"/>
      <c r="M197" s="1100"/>
      <c r="N197" s="1100"/>
    </row>
    <row r="198" spans="1:14" x14ac:dyDescent="0.3">
      <c r="A198" s="1100"/>
      <c r="B198" s="1100"/>
      <c r="C198" s="1100"/>
      <c r="D198" s="1100"/>
      <c r="E198" s="1100"/>
      <c r="F198" s="1100"/>
      <c r="G198" s="1100"/>
      <c r="H198" s="1100"/>
      <c r="I198" s="1100"/>
      <c r="J198" s="1100"/>
      <c r="K198" s="1100"/>
      <c r="L198" s="1100"/>
      <c r="M198" s="1100"/>
      <c r="N198" s="1100"/>
    </row>
    <row r="199" spans="1:14" x14ac:dyDescent="0.3">
      <c r="A199" s="1100"/>
      <c r="B199" s="1100"/>
      <c r="C199" s="1100"/>
      <c r="D199" s="1100"/>
      <c r="E199" s="1100"/>
      <c r="F199" s="1100"/>
      <c r="G199" s="1100"/>
      <c r="H199" s="1100"/>
      <c r="I199" s="1100"/>
      <c r="J199" s="1100"/>
      <c r="K199" s="1100"/>
      <c r="L199" s="1100"/>
      <c r="M199" s="1100"/>
      <c r="N199" s="1100"/>
    </row>
    <row r="200" spans="1:14" x14ac:dyDescent="0.3">
      <c r="A200" s="1100"/>
      <c r="B200" s="1100"/>
      <c r="C200" s="1100"/>
      <c r="D200" s="1100"/>
      <c r="E200" s="1100"/>
      <c r="F200" s="1100"/>
      <c r="G200" s="1100"/>
      <c r="H200" s="1100"/>
      <c r="I200" s="1100"/>
      <c r="J200" s="1100"/>
      <c r="K200" s="1100"/>
      <c r="L200" s="1100"/>
      <c r="M200" s="1100"/>
      <c r="N200" s="1100"/>
    </row>
    <row r="201" spans="1:14" x14ac:dyDescent="0.3">
      <c r="A201" s="1100"/>
      <c r="B201" s="1100"/>
      <c r="C201" s="1100"/>
      <c r="D201" s="1100"/>
      <c r="E201" s="1100"/>
      <c r="F201" s="1100"/>
      <c r="G201" s="1100"/>
      <c r="H201" s="1100"/>
      <c r="I201" s="1100"/>
      <c r="J201" s="1100"/>
      <c r="K201" s="1100"/>
      <c r="L201" s="1100"/>
      <c r="M201" s="1100"/>
      <c r="N201" s="1100"/>
    </row>
    <row r="202" spans="1:14" x14ac:dyDescent="0.3">
      <c r="A202" s="1100"/>
      <c r="B202" s="1100"/>
      <c r="C202" s="1100"/>
      <c r="D202" s="1100"/>
      <c r="E202" s="1100"/>
      <c r="F202" s="1100"/>
      <c r="G202" s="1100"/>
      <c r="H202" s="1100"/>
      <c r="I202" s="1100"/>
      <c r="J202" s="1100"/>
      <c r="K202" s="1100"/>
      <c r="L202" s="1100"/>
      <c r="M202" s="1100"/>
      <c r="N202" s="1100"/>
    </row>
    <row r="203" spans="1:14" x14ac:dyDescent="0.3">
      <c r="A203" s="1100"/>
      <c r="B203" s="1100"/>
      <c r="C203" s="1100"/>
      <c r="D203" s="1100"/>
      <c r="E203" s="1100"/>
      <c r="F203" s="1100"/>
      <c r="G203" s="1100"/>
      <c r="H203" s="1100"/>
      <c r="I203" s="1100"/>
      <c r="J203" s="1100"/>
      <c r="K203" s="1100"/>
      <c r="L203" s="1100"/>
      <c r="M203" s="1100"/>
      <c r="N203" s="1100"/>
    </row>
    <row r="204" spans="1:14" x14ac:dyDescent="0.3">
      <c r="A204" s="1100"/>
      <c r="B204" s="1100"/>
      <c r="C204" s="1100"/>
      <c r="D204" s="1100"/>
      <c r="E204" s="1100"/>
      <c r="F204" s="1100"/>
      <c r="G204" s="1100"/>
      <c r="H204" s="1100"/>
      <c r="I204" s="1100"/>
      <c r="J204" s="1100"/>
      <c r="K204" s="1100"/>
      <c r="L204" s="1100"/>
      <c r="M204" s="1100"/>
      <c r="N204" s="1100"/>
    </row>
    <row r="205" spans="1:14" x14ac:dyDescent="0.3">
      <c r="A205" s="1100"/>
      <c r="B205" s="1100"/>
      <c r="C205" s="1100"/>
      <c r="D205" s="1100"/>
      <c r="E205" s="1100"/>
      <c r="F205" s="1100"/>
      <c r="G205" s="1100"/>
      <c r="H205" s="1100"/>
      <c r="I205" s="1100"/>
      <c r="J205" s="1100"/>
      <c r="K205" s="1100"/>
      <c r="L205" s="1100"/>
      <c r="M205" s="1100"/>
      <c r="N205" s="1100"/>
    </row>
    <row r="206" spans="1:14" x14ac:dyDescent="0.3">
      <c r="A206" s="1100"/>
      <c r="B206" s="1100"/>
      <c r="C206" s="1100"/>
      <c r="D206" s="1100"/>
      <c r="E206" s="1100"/>
      <c r="F206" s="1100"/>
      <c r="G206" s="1100"/>
      <c r="H206" s="1100"/>
      <c r="I206" s="1100"/>
      <c r="J206" s="1100"/>
      <c r="K206" s="1100"/>
      <c r="L206" s="1100"/>
      <c r="M206" s="1100"/>
      <c r="N206" s="1100"/>
    </row>
    <row r="207" spans="1:14" x14ac:dyDescent="0.3">
      <c r="A207" s="1100"/>
      <c r="B207" s="1100"/>
      <c r="C207" s="1100"/>
      <c r="D207" s="1100"/>
      <c r="E207" s="1100"/>
      <c r="F207" s="1100"/>
      <c r="G207" s="1100"/>
      <c r="H207" s="1100"/>
      <c r="I207" s="1100"/>
      <c r="J207" s="1100"/>
      <c r="K207" s="1100"/>
      <c r="L207" s="1100"/>
      <c r="M207" s="1100"/>
      <c r="N207" s="1100"/>
    </row>
    <row r="208" spans="1:14" x14ac:dyDescent="0.3">
      <c r="A208" s="1100"/>
      <c r="B208" s="1100"/>
      <c r="C208" s="1100"/>
      <c r="D208" s="1100"/>
      <c r="E208" s="1100"/>
      <c r="F208" s="1100"/>
      <c r="G208" s="1100"/>
      <c r="H208" s="1100"/>
      <c r="I208" s="1100"/>
      <c r="J208" s="1101"/>
      <c r="K208" s="1101"/>
      <c r="L208" s="1101"/>
      <c r="M208" s="1101"/>
      <c r="N208" s="1101"/>
    </row>
    <row r="209" spans="1:9" x14ac:dyDescent="0.3">
      <c r="A209" s="1100"/>
      <c r="B209" s="1100"/>
      <c r="C209" s="1100"/>
      <c r="D209" s="1100"/>
      <c r="E209" s="1100"/>
      <c r="F209" s="1100"/>
      <c r="G209" s="1100"/>
      <c r="H209" s="1100"/>
      <c r="I209" s="1100"/>
    </row>
    <row r="210" spans="1:9" x14ac:dyDescent="0.3">
      <c r="A210" s="1100"/>
      <c r="B210" s="1100"/>
      <c r="C210" s="1100"/>
      <c r="D210" s="1100"/>
      <c r="E210" s="1100"/>
      <c r="F210" s="1100"/>
      <c r="G210" s="1100"/>
      <c r="H210" s="1100"/>
      <c r="I210" s="1100"/>
    </row>
    <row r="211" spans="1:9" x14ac:dyDescent="0.3">
      <c r="A211" s="1100"/>
      <c r="B211" s="1100"/>
      <c r="C211" s="1100"/>
      <c r="D211" s="1100"/>
      <c r="E211" s="1100"/>
      <c r="F211" s="1100"/>
      <c r="G211" s="1100"/>
      <c r="H211" s="1100"/>
      <c r="I211" s="1100"/>
    </row>
    <row r="212" spans="1:9" x14ac:dyDescent="0.3">
      <c r="A212" s="1100"/>
      <c r="B212" s="1100"/>
      <c r="C212" s="1100"/>
      <c r="D212" s="1100"/>
      <c r="E212" s="1100"/>
      <c r="F212" s="1100"/>
      <c r="G212" s="1100"/>
      <c r="H212" s="1100"/>
      <c r="I212" s="1100"/>
    </row>
    <row r="213" spans="1:9" x14ac:dyDescent="0.3">
      <c r="A213" s="1100"/>
      <c r="B213" s="1100"/>
      <c r="C213" s="1100"/>
      <c r="D213" s="1100"/>
      <c r="E213" s="1100"/>
      <c r="F213" s="1100"/>
      <c r="G213" s="1100"/>
      <c r="H213" s="1100"/>
      <c r="I213" s="1100"/>
    </row>
    <row r="214" spans="1:9" x14ac:dyDescent="0.3">
      <c r="A214" s="1100"/>
      <c r="B214" s="1100"/>
      <c r="C214" s="1100"/>
      <c r="D214" s="1100"/>
      <c r="E214" s="1100"/>
      <c r="F214" s="1100"/>
      <c r="G214" s="1100"/>
      <c r="H214" s="1100"/>
      <c r="I214" s="1100"/>
    </row>
    <row r="215" spans="1:9" x14ac:dyDescent="0.3">
      <c r="A215" s="1100"/>
      <c r="B215" s="1100"/>
      <c r="C215" s="1100"/>
      <c r="D215" s="1100"/>
      <c r="E215" s="1100"/>
      <c r="F215" s="1100"/>
      <c r="G215" s="1100"/>
      <c r="H215" s="1100"/>
      <c r="I215" s="1100"/>
    </row>
    <row r="216" spans="1:9" x14ac:dyDescent="0.3">
      <c r="A216" s="1100"/>
      <c r="B216" s="1100"/>
      <c r="C216" s="1100"/>
      <c r="D216" s="1100"/>
      <c r="E216" s="1100"/>
      <c r="F216" s="1100"/>
      <c r="G216" s="1100"/>
      <c r="H216" s="1100"/>
      <c r="I216" s="1100"/>
    </row>
    <row r="217" spans="1:9" x14ac:dyDescent="0.3">
      <c r="A217" s="1100"/>
      <c r="B217" s="1100"/>
      <c r="C217" s="1100"/>
      <c r="D217" s="1100"/>
      <c r="E217" s="1100"/>
      <c r="F217" s="1100"/>
      <c r="G217" s="1100"/>
      <c r="H217" s="1100"/>
      <c r="I217" s="1100"/>
    </row>
    <row r="218" spans="1:9" x14ac:dyDescent="0.3">
      <c r="A218" s="1100"/>
      <c r="B218" s="1100"/>
      <c r="C218" s="1100"/>
      <c r="D218" s="1100"/>
      <c r="E218" s="1100"/>
      <c r="F218" s="1100"/>
      <c r="G218" s="1100"/>
      <c r="H218" s="1100"/>
      <c r="I218" s="1100"/>
    </row>
    <row r="219" spans="1:9" x14ac:dyDescent="0.3">
      <c r="A219" s="1100"/>
      <c r="B219" s="1100"/>
      <c r="C219" s="1100"/>
      <c r="D219" s="1100"/>
      <c r="E219" s="1100"/>
      <c r="F219" s="1100"/>
      <c r="G219" s="1100"/>
      <c r="H219" s="1100"/>
      <c r="I219" s="1100"/>
    </row>
    <row r="220" spans="1:9" x14ac:dyDescent="0.3">
      <c r="A220" s="1100"/>
      <c r="B220" s="1100"/>
      <c r="C220" s="1100"/>
      <c r="D220" s="1100"/>
      <c r="E220" s="1100"/>
      <c r="F220" s="1100"/>
      <c r="G220" s="1100"/>
      <c r="H220" s="1100"/>
      <c r="I220" s="1100"/>
    </row>
    <row r="221" spans="1:9" x14ac:dyDescent="0.3">
      <c r="A221" s="1100"/>
      <c r="B221" s="1100"/>
      <c r="C221" s="1100"/>
      <c r="D221" s="1100"/>
      <c r="E221" s="1100"/>
      <c r="F221" s="1100"/>
      <c r="G221" s="1100"/>
      <c r="H221" s="1100"/>
      <c r="I221" s="1100"/>
    </row>
    <row r="222" spans="1:9" x14ac:dyDescent="0.3">
      <c r="A222" s="1100"/>
      <c r="B222" s="1100"/>
      <c r="C222" s="1100"/>
      <c r="D222" s="1100"/>
      <c r="E222" s="1100"/>
      <c r="F222" s="1100"/>
      <c r="G222" s="1100"/>
      <c r="H222" s="1100"/>
      <c r="I222" s="1100"/>
    </row>
    <row r="223" spans="1:9" x14ac:dyDescent="0.3">
      <c r="A223" s="1100"/>
      <c r="B223" s="1100"/>
      <c r="C223" s="1100"/>
      <c r="D223" s="1100"/>
      <c r="E223" s="1100"/>
      <c r="F223" s="1100"/>
      <c r="G223" s="1100"/>
      <c r="H223" s="1100"/>
      <c r="I223" s="1100"/>
    </row>
    <row r="224" spans="1:9" x14ac:dyDescent="0.3">
      <c r="A224" s="1100"/>
      <c r="B224" s="1100"/>
      <c r="C224" s="1100"/>
      <c r="D224" s="1100"/>
      <c r="E224" s="1100"/>
      <c r="F224" s="1100"/>
      <c r="G224" s="1100"/>
      <c r="H224" s="1100"/>
      <c r="I224" s="1100"/>
    </row>
    <row r="225" spans="1:9" x14ac:dyDescent="0.3">
      <c r="A225" s="1100"/>
      <c r="B225" s="1100"/>
      <c r="C225" s="1100"/>
      <c r="D225" s="1100"/>
      <c r="E225" s="1100"/>
      <c r="F225" s="1100"/>
      <c r="G225" s="1100"/>
      <c r="H225" s="1100"/>
      <c r="I225" s="1100"/>
    </row>
    <row r="226" spans="1:9" x14ac:dyDescent="0.3">
      <c r="A226" s="1100"/>
      <c r="B226" s="1100"/>
      <c r="C226" s="1100"/>
      <c r="D226" s="1100"/>
      <c r="E226" s="1100"/>
      <c r="F226" s="1100"/>
      <c r="G226" s="1100"/>
      <c r="H226" s="1100"/>
      <c r="I226" s="1100"/>
    </row>
    <row r="227" spans="1:9" x14ac:dyDescent="0.3">
      <c r="A227" s="1100"/>
      <c r="B227" s="1100"/>
      <c r="C227" s="1100"/>
      <c r="D227" s="1100"/>
      <c r="E227" s="1100"/>
      <c r="F227" s="1100"/>
      <c r="G227" s="1100"/>
      <c r="H227" s="1100"/>
      <c r="I227" s="1100"/>
    </row>
    <row r="228" spans="1:9" x14ac:dyDescent="0.3">
      <c r="A228" s="1100"/>
      <c r="B228" s="1100"/>
      <c r="C228" s="1100"/>
      <c r="D228" s="1100"/>
      <c r="E228" s="1100"/>
      <c r="F228" s="1100"/>
      <c r="G228" s="1100"/>
      <c r="H228" s="1100"/>
      <c r="I228" s="1100"/>
    </row>
    <row r="229" spans="1:9" x14ac:dyDescent="0.3">
      <c r="A229" s="1100"/>
      <c r="B229" s="1100"/>
      <c r="C229" s="1100"/>
      <c r="D229" s="1100"/>
      <c r="E229" s="1100"/>
      <c r="F229" s="1100"/>
      <c r="G229" s="1100"/>
      <c r="H229" s="1100"/>
      <c r="I229" s="1100"/>
    </row>
    <row r="230" spans="1:9" x14ac:dyDescent="0.3">
      <c r="A230" s="1100"/>
      <c r="B230" s="1100"/>
      <c r="C230" s="1100"/>
      <c r="D230" s="1100"/>
      <c r="E230" s="1100"/>
      <c r="F230" s="1100"/>
      <c r="G230" s="1100"/>
      <c r="H230" s="1100"/>
      <c r="I230" s="1100"/>
    </row>
    <row r="231" spans="1:9" x14ac:dyDescent="0.3">
      <c r="A231" s="1100"/>
      <c r="B231" s="1100"/>
      <c r="C231" s="1100"/>
      <c r="D231" s="1100"/>
      <c r="E231" s="1100"/>
      <c r="F231" s="1100"/>
      <c r="G231" s="1100"/>
      <c r="H231" s="1100"/>
      <c r="I231" s="1100"/>
    </row>
    <row r="232" spans="1:9" x14ac:dyDescent="0.3">
      <c r="A232" s="1100"/>
      <c r="B232" s="1100"/>
      <c r="C232" s="1100"/>
      <c r="D232" s="1100"/>
      <c r="E232" s="1100"/>
      <c r="F232" s="1100"/>
      <c r="G232" s="1100"/>
      <c r="H232" s="1100"/>
      <c r="I232" s="1100"/>
    </row>
    <row r="233" spans="1:9" x14ac:dyDescent="0.3">
      <c r="A233" s="1100"/>
      <c r="B233" s="1100"/>
      <c r="C233" s="1100"/>
      <c r="D233" s="1100"/>
      <c r="E233" s="1100"/>
      <c r="F233" s="1100"/>
      <c r="G233" s="1100"/>
      <c r="H233" s="1100"/>
      <c r="I233" s="1100"/>
    </row>
    <row r="234" spans="1:9" x14ac:dyDescent="0.3">
      <c r="A234" s="1100"/>
      <c r="B234" s="1100"/>
      <c r="C234" s="1100"/>
      <c r="D234" s="1100"/>
      <c r="E234" s="1100"/>
      <c r="F234" s="1100"/>
      <c r="G234" s="1100"/>
      <c r="H234" s="1100"/>
      <c r="I234" s="1100"/>
    </row>
    <row r="235" spans="1:9" x14ac:dyDescent="0.3">
      <c r="A235" s="1100"/>
      <c r="B235" s="1100"/>
      <c r="C235" s="1100"/>
      <c r="D235" s="1100"/>
      <c r="E235" s="1100"/>
      <c r="F235" s="1100"/>
      <c r="G235" s="1100"/>
      <c r="H235" s="1100"/>
      <c r="I235" s="1100"/>
    </row>
    <row r="236" spans="1:9" x14ac:dyDescent="0.3">
      <c r="A236" s="1100"/>
      <c r="B236" s="1100"/>
      <c r="C236" s="1100"/>
      <c r="D236" s="1100"/>
      <c r="E236" s="1100"/>
      <c r="F236" s="1100"/>
      <c r="G236" s="1100"/>
      <c r="H236" s="1100"/>
      <c r="I236" s="1100"/>
    </row>
    <row r="237" spans="1:9" x14ac:dyDescent="0.3">
      <c r="A237" s="1100"/>
      <c r="B237" s="1100"/>
      <c r="C237" s="1100"/>
      <c r="D237" s="1100"/>
      <c r="E237" s="1100"/>
      <c r="F237" s="1100"/>
      <c r="G237" s="1100"/>
      <c r="H237" s="1100"/>
      <c r="I237" s="1100"/>
    </row>
    <row r="238" spans="1:9" x14ac:dyDescent="0.3">
      <c r="A238" s="1100"/>
      <c r="B238" s="1100"/>
      <c r="C238" s="1100"/>
      <c r="D238" s="1100"/>
      <c r="E238" s="1100"/>
      <c r="F238" s="1100"/>
      <c r="G238" s="1100"/>
      <c r="H238" s="1100"/>
      <c r="I238" s="1100"/>
    </row>
    <row r="239" spans="1:9" x14ac:dyDescent="0.3">
      <c r="A239" s="1100"/>
      <c r="B239" s="1100"/>
      <c r="C239" s="1100"/>
      <c r="D239" s="1100"/>
      <c r="E239" s="1100"/>
      <c r="F239" s="1100"/>
      <c r="G239" s="1100"/>
      <c r="H239" s="1100"/>
      <c r="I239" s="1100"/>
    </row>
    <row r="240" spans="1:9" x14ac:dyDescent="0.3">
      <c r="A240" s="1100"/>
      <c r="B240" s="1100"/>
      <c r="C240" s="1100"/>
      <c r="D240" s="1100"/>
      <c r="E240" s="1100"/>
      <c r="F240" s="1100"/>
      <c r="G240" s="1100"/>
      <c r="H240" s="1100"/>
      <c r="I240" s="1100"/>
    </row>
    <row r="241" spans="1:9" x14ac:dyDescent="0.3">
      <c r="A241" s="1100"/>
      <c r="B241" s="1100"/>
      <c r="C241" s="1100"/>
      <c r="D241" s="1100"/>
      <c r="E241" s="1100"/>
      <c r="F241" s="1100"/>
      <c r="G241" s="1100"/>
      <c r="H241" s="1100"/>
      <c r="I241" s="1100"/>
    </row>
    <row r="242" spans="1:9" x14ac:dyDescent="0.3">
      <c r="A242" s="1100"/>
      <c r="B242" s="1100"/>
      <c r="C242" s="1100"/>
      <c r="D242" s="1100"/>
      <c r="E242" s="1100"/>
      <c r="F242" s="1100"/>
      <c r="G242" s="1100"/>
      <c r="H242" s="1100"/>
      <c r="I242" s="1100"/>
    </row>
    <row r="243" spans="1:9" x14ac:dyDescent="0.3">
      <c r="A243" s="1100"/>
      <c r="B243" s="1100"/>
      <c r="C243" s="1100"/>
      <c r="D243" s="1100"/>
      <c r="E243" s="1100"/>
      <c r="F243" s="1100"/>
      <c r="G243" s="1100"/>
      <c r="H243" s="1100"/>
      <c r="I243" s="1100"/>
    </row>
    <row r="244" spans="1:9" x14ac:dyDescent="0.3">
      <c r="A244" s="1100"/>
      <c r="B244" s="1100"/>
      <c r="C244" s="1100"/>
      <c r="D244" s="1100"/>
      <c r="E244" s="1100"/>
      <c r="F244" s="1100"/>
      <c r="G244" s="1100"/>
      <c r="H244" s="1100"/>
      <c r="I244" s="1100"/>
    </row>
    <row r="245" spans="1:9" x14ac:dyDescent="0.3">
      <c r="A245" s="1100"/>
      <c r="B245" s="1100"/>
      <c r="C245" s="1100"/>
      <c r="D245" s="1100"/>
      <c r="E245" s="1100"/>
      <c r="F245" s="1100"/>
      <c r="G245" s="1100"/>
      <c r="H245" s="1100"/>
      <c r="I245" s="1100"/>
    </row>
    <row r="246" spans="1:9" x14ac:dyDescent="0.3">
      <c r="A246" s="1100"/>
      <c r="B246" s="1100"/>
      <c r="C246" s="1100"/>
      <c r="D246" s="1100"/>
      <c r="E246" s="1100"/>
      <c r="F246" s="1100"/>
      <c r="G246" s="1100"/>
      <c r="H246" s="1100"/>
      <c r="I246" s="1100"/>
    </row>
    <row r="247" spans="1:9" x14ac:dyDescent="0.3">
      <c r="A247" s="1100"/>
      <c r="B247" s="1100"/>
      <c r="C247" s="1100"/>
      <c r="D247" s="1100"/>
      <c r="E247" s="1100"/>
      <c r="F247" s="1100"/>
      <c r="G247" s="1100"/>
      <c r="H247" s="1100"/>
      <c r="I247" s="1100"/>
    </row>
    <row r="248" spans="1:9" x14ac:dyDescent="0.3">
      <c r="A248" s="1100"/>
      <c r="B248" s="1100"/>
      <c r="C248" s="1100"/>
      <c r="D248" s="1100"/>
      <c r="E248" s="1100"/>
      <c r="F248" s="1100"/>
      <c r="G248" s="1100"/>
      <c r="H248" s="1100"/>
      <c r="I248" s="1100"/>
    </row>
    <row r="249" spans="1:9" x14ac:dyDescent="0.3">
      <c r="A249" s="1100"/>
      <c r="B249" s="1100"/>
      <c r="C249" s="1100"/>
      <c r="D249" s="1100"/>
      <c r="E249" s="1100"/>
      <c r="F249" s="1100"/>
      <c r="G249" s="1100"/>
      <c r="H249" s="1100"/>
      <c r="I249" s="1100"/>
    </row>
    <row r="250" spans="1:9" x14ac:dyDescent="0.3">
      <c r="A250" s="1100"/>
      <c r="B250" s="1100"/>
      <c r="C250" s="1100"/>
      <c r="D250" s="1100"/>
      <c r="E250" s="1100"/>
      <c r="F250" s="1100"/>
      <c r="G250" s="1100"/>
      <c r="H250" s="1100"/>
      <c r="I250" s="1100"/>
    </row>
    <row r="251" spans="1:9" x14ac:dyDescent="0.3">
      <c r="A251" s="1100"/>
      <c r="B251" s="1100"/>
      <c r="C251" s="1100"/>
      <c r="D251" s="1100"/>
      <c r="E251" s="1100"/>
      <c r="F251" s="1100"/>
      <c r="G251" s="1100"/>
      <c r="H251" s="1100"/>
      <c r="I251" s="1100"/>
    </row>
    <row r="252" spans="1:9" x14ac:dyDescent="0.3">
      <c r="A252" s="1100"/>
      <c r="B252" s="1100"/>
      <c r="C252" s="1100"/>
      <c r="D252" s="1100"/>
      <c r="E252" s="1100"/>
      <c r="F252" s="1100"/>
      <c r="G252" s="1100"/>
      <c r="H252" s="1100"/>
      <c r="I252" s="1100"/>
    </row>
    <row r="253" spans="1:9" x14ac:dyDescent="0.3">
      <c r="A253" s="1100"/>
      <c r="B253" s="1100"/>
      <c r="C253" s="1100"/>
      <c r="D253" s="1100"/>
      <c r="E253" s="1100"/>
      <c r="F253" s="1100"/>
      <c r="G253" s="1100"/>
      <c r="H253" s="1100"/>
      <c r="I253" s="1100"/>
    </row>
    <row r="254" spans="1:9" x14ac:dyDescent="0.3">
      <c r="A254" s="1100"/>
      <c r="B254" s="1100"/>
      <c r="C254" s="1100"/>
      <c r="D254" s="1100"/>
      <c r="E254" s="1100"/>
      <c r="F254" s="1100"/>
      <c r="G254" s="1100"/>
      <c r="H254" s="1100"/>
      <c r="I254" s="1100"/>
    </row>
    <row r="255" spans="1:9" x14ac:dyDescent="0.3">
      <c r="A255" s="1100"/>
      <c r="B255" s="1100"/>
      <c r="C255" s="1100"/>
      <c r="D255" s="1100"/>
      <c r="E255" s="1100"/>
      <c r="F255" s="1100"/>
      <c r="G255" s="1100"/>
      <c r="H255" s="1100"/>
      <c r="I255" s="1100"/>
    </row>
    <row r="256" spans="1:9" x14ac:dyDescent="0.3">
      <c r="A256" s="1100"/>
      <c r="B256" s="1100"/>
      <c r="C256" s="1100"/>
      <c r="D256" s="1100"/>
      <c r="E256" s="1100"/>
      <c r="F256" s="1100"/>
      <c r="G256" s="1100"/>
      <c r="H256" s="1100"/>
      <c r="I256" s="1100"/>
    </row>
    <row r="257" spans="1:9" x14ac:dyDescent="0.3">
      <c r="A257" s="1100"/>
      <c r="B257" s="1100"/>
      <c r="C257" s="1100"/>
      <c r="D257" s="1100"/>
      <c r="E257" s="1100"/>
      <c r="F257" s="1100"/>
      <c r="G257" s="1100"/>
      <c r="H257" s="1100"/>
      <c r="I257" s="1100"/>
    </row>
    <row r="258" spans="1:9" x14ac:dyDescent="0.3">
      <c r="A258" s="1100"/>
      <c r="B258" s="1100"/>
      <c r="C258" s="1100"/>
      <c r="D258" s="1100"/>
      <c r="E258" s="1100"/>
      <c r="F258" s="1100"/>
      <c r="G258" s="1100"/>
      <c r="H258" s="1100"/>
      <c r="I258" s="1100"/>
    </row>
    <row r="259" spans="1:9" x14ac:dyDescent="0.3">
      <c r="A259" s="1100"/>
      <c r="B259" s="1100"/>
      <c r="C259" s="1100"/>
      <c r="D259" s="1100"/>
      <c r="E259" s="1100"/>
      <c r="F259" s="1100"/>
      <c r="G259" s="1100"/>
      <c r="H259" s="1100"/>
      <c r="I259" s="1100"/>
    </row>
    <row r="260" spans="1:9" x14ac:dyDescent="0.3">
      <c r="A260" s="1100"/>
      <c r="B260" s="1100"/>
      <c r="C260" s="1100"/>
      <c r="D260" s="1100"/>
      <c r="E260" s="1100"/>
      <c r="F260" s="1100"/>
      <c r="G260" s="1100"/>
      <c r="H260" s="1100"/>
      <c r="I260" s="1100"/>
    </row>
    <row r="261" spans="1:9" x14ac:dyDescent="0.3">
      <c r="A261" s="1100"/>
      <c r="B261" s="1100"/>
      <c r="C261" s="1100"/>
      <c r="D261" s="1100"/>
      <c r="E261" s="1100"/>
      <c r="F261" s="1100"/>
      <c r="G261" s="1100"/>
      <c r="H261" s="1100"/>
      <c r="I261" s="1100"/>
    </row>
    <row r="262" spans="1:9" x14ac:dyDescent="0.3">
      <c r="A262" s="1100"/>
      <c r="B262" s="1100"/>
      <c r="C262" s="1100"/>
      <c r="D262" s="1100"/>
      <c r="E262" s="1100"/>
      <c r="F262" s="1100"/>
      <c r="G262" s="1100"/>
      <c r="H262" s="1100"/>
      <c r="I262" s="1100"/>
    </row>
    <row r="263" spans="1:9" x14ac:dyDescent="0.3">
      <c r="A263" s="1100"/>
      <c r="B263" s="1100"/>
      <c r="C263" s="1100"/>
      <c r="D263" s="1100"/>
      <c r="E263" s="1100"/>
      <c r="F263" s="1100"/>
      <c r="G263" s="1100"/>
      <c r="H263" s="1100"/>
      <c r="I263" s="1100"/>
    </row>
    <row r="264" spans="1:9" x14ac:dyDescent="0.3">
      <c r="A264" s="1100"/>
      <c r="B264" s="1100"/>
      <c r="C264" s="1100"/>
      <c r="D264" s="1100"/>
      <c r="E264" s="1100"/>
      <c r="F264" s="1100"/>
      <c r="G264" s="1100"/>
      <c r="H264" s="1100"/>
      <c r="I264" s="1100"/>
    </row>
    <row r="265" spans="1:9" x14ac:dyDescent="0.3">
      <c r="A265" s="1100"/>
      <c r="B265" s="1100"/>
      <c r="C265" s="1100"/>
      <c r="D265" s="1100"/>
      <c r="E265" s="1100"/>
      <c r="F265" s="1100"/>
      <c r="G265" s="1100"/>
      <c r="H265" s="1100"/>
      <c r="I265" s="1100"/>
    </row>
    <row r="266" spans="1:9" x14ac:dyDescent="0.3">
      <c r="A266" s="1100"/>
      <c r="B266" s="1100"/>
      <c r="C266" s="1100"/>
      <c r="D266" s="1100"/>
      <c r="E266" s="1100"/>
      <c r="F266" s="1100"/>
      <c r="G266" s="1100"/>
      <c r="H266" s="1100"/>
      <c r="I266" s="1100"/>
    </row>
    <row r="267" spans="1:9" x14ac:dyDescent="0.3">
      <c r="A267" s="1100"/>
      <c r="B267" s="1100"/>
      <c r="C267" s="1100"/>
      <c r="D267" s="1100"/>
      <c r="E267" s="1100"/>
      <c r="F267" s="1100"/>
      <c r="G267" s="1100"/>
      <c r="H267" s="1100"/>
      <c r="I267" s="1100"/>
    </row>
    <row r="268" spans="1:9" x14ac:dyDescent="0.3">
      <c r="A268" s="1100"/>
      <c r="B268" s="1100"/>
      <c r="C268" s="1100"/>
      <c r="D268" s="1100"/>
      <c r="E268" s="1100"/>
      <c r="F268" s="1100"/>
      <c r="G268" s="1100"/>
      <c r="H268" s="1100"/>
      <c r="I268" s="1100"/>
    </row>
    <row r="269" spans="1:9" x14ac:dyDescent="0.3">
      <c r="A269" s="1100"/>
      <c r="B269" s="1100"/>
      <c r="C269" s="1100"/>
      <c r="D269" s="1100"/>
      <c r="E269" s="1100"/>
      <c r="F269" s="1100"/>
      <c r="G269" s="1100"/>
      <c r="H269" s="1100"/>
      <c r="I269" s="1100"/>
    </row>
    <row r="270" spans="1:9" x14ac:dyDescent="0.3">
      <c r="A270" s="1100"/>
      <c r="B270" s="1100"/>
      <c r="C270" s="1100"/>
      <c r="D270" s="1100"/>
      <c r="E270" s="1100"/>
      <c r="F270" s="1100"/>
      <c r="G270" s="1100"/>
      <c r="H270" s="1100"/>
      <c r="I270" s="1100"/>
    </row>
    <row r="271" spans="1:9" x14ac:dyDescent="0.3">
      <c r="A271" s="1100"/>
      <c r="B271" s="1100"/>
      <c r="C271" s="1100"/>
      <c r="D271" s="1100"/>
      <c r="E271" s="1100"/>
      <c r="F271" s="1100"/>
      <c r="G271" s="1100"/>
      <c r="H271" s="1100"/>
      <c r="I271" s="1100"/>
    </row>
    <row r="272" spans="1:9" x14ac:dyDescent="0.3">
      <c r="A272" s="1100"/>
      <c r="B272" s="1100"/>
      <c r="C272" s="1100"/>
      <c r="D272" s="1100"/>
      <c r="E272" s="1100"/>
      <c r="F272" s="1100"/>
      <c r="G272" s="1100"/>
      <c r="H272" s="1100"/>
      <c r="I272" s="1100"/>
    </row>
    <row r="273" spans="1:9" x14ac:dyDescent="0.3">
      <c r="A273" s="1100"/>
      <c r="B273" s="1100"/>
      <c r="C273" s="1100"/>
      <c r="D273" s="1100"/>
      <c r="E273" s="1100"/>
      <c r="F273" s="1100"/>
      <c r="G273" s="1100"/>
      <c r="H273" s="1100"/>
      <c r="I273" s="1100"/>
    </row>
    <row r="274" spans="1:9" x14ac:dyDescent="0.3">
      <c r="A274" s="1100"/>
      <c r="B274" s="1100"/>
      <c r="C274" s="1100"/>
      <c r="D274" s="1100"/>
      <c r="E274" s="1100"/>
      <c r="F274" s="1100"/>
      <c r="G274" s="1100"/>
      <c r="H274" s="1100"/>
      <c r="I274" s="1100"/>
    </row>
    <row r="275" spans="1:9" x14ac:dyDescent="0.3">
      <c r="A275" s="1100"/>
      <c r="B275" s="1100"/>
      <c r="C275" s="1100"/>
      <c r="D275" s="1100"/>
      <c r="E275" s="1100"/>
      <c r="F275" s="1100"/>
      <c r="G275" s="1100"/>
      <c r="H275" s="1100"/>
      <c r="I275" s="1100"/>
    </row>
    <row r="276" spans="1:9" x14ac:dyDescent="0.3">
      <c r="A276" s="1100"/>
      <c r="B276" s="1100"/>
      <c r="C276" s="1100"/>
      <c r="D276" s="1100"/>
      <c r="E276" s="1100"/>
      <c r="F276" s="1100"/>
      <c r="G276" s="1100"/>
      <c r="H276" s="1100"/>
      <c r="I276" s="1100"/>
    </row>
    <row r="277" spans="1:9" x14ac:dyDescent="0.3">
      <c r="A277" s="1100"/>
      <c r="B277" s="1100"/>
      <c r="C277" s="1100"/>
      <c r="D277" s="1100"/>
      <c r="E277" s="1100"/>
      <c r="F277" s="1100"/>
      <c r="G277" s="1100"/>
      <c r="H277" s="1100"/>
      <c r="I277" s="1100"/>
    </row>
    <row r="278" spans="1:9" x14ac:dyDescent="0.3">
      <c r="A278" s="1100"/>
      <c r="B278" s="1100"/>
      <c r="C278" s="1100"/>
      <c r="D278" s="1100"/>
      <c r="E278" s="1100"/>
      <c r="F278" s="1100"/>
      <c r="G278" s="1100"/>
      <c r="H278" s="1100"/>
      <c r="I278" s="1100"/>
    </row>
    <row r="279" spans="1:9" x14ac:dyDescent="0.3">
      <c r="A279" s="1100"/>
      <c r="B279" s="1100"/>
      <c r="C279" s="1100"/>
      <c r="D279" s="1100"/>
      <c r="E279" s="1100"/>
      <c r="F279" s="1100"/>
      <c r="G279" s="1100"/>
      <c r="H279" s="1100"/>
      <c r="I279" s="1100"/>
    </row>
  </sheetData>
  <hyperlinks>
    <hyperlink ref="B4" location="SU_A1200" display="SU_A1200"/>
    <hyperlink ref="F2" location="SU_A1200_BOM" display="Back to BOM"/>
  </hyperlinks>
  <pageMargins left="0.70866141732283472" right="0.70866141732283472" top="0.74803149606299213" bottom="0.74803149606299213" header="0.31496062992125984" footer="0.31496062992125984"/>
  <pageSetup paperSize="9" scale="50" fitToHeight="99" orientation="landscape" r:id="rId1"/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1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3.44140625" customWidth="1"/>
  </cols>
  <sheetData>
    <row r="1" spans="1:15" x14ac:dyDescent="0.3">
      <c r="A1" s="940"/>
      <c r="B1" s="938"/>
      <c r="C1" s="938"/>
      <c r="D1" s="938"/>
      <c r="E1" s="938"/>
      <c r="F1" s="938"/>
      <c r="G1" s="938"/>
      <c r="H1" s="938"/>
      <c r="I1" s="938"/>
      <c r="J1" s="939"/>
      <c r="K1" s="938"/>
      <c r="L1" s="938"/>
      <c r="M1" s="938"/>
      <c r="N1" s="938"/>
      <c r="O1" s="937"/>
    </row>
    <row r="2" spans="1:15" x14ac:dyDescent="0.3">
      <c r="A2" s="1069" t="s">
        <v>0</v>
      </c>
      <c r="B2" s="16" t="s">
        <v>37</v>
      </c>
      <c r="C2" s="1070"/>
      <c r="D2" s="1070"/>
      <c r="E2" s="1070"/>
      <c r="F2" s="88" t="s">
        <v>126</v>
      </c>
      <c r="G2" s="1070"/>
      <c r="H2" s="1070"/>
      <c r="I2" s="1070"/>
      <c r="J2" s="1071" t="s">
        <v>1</v>
      </c>
      <c r="K2" s="1072">
        <v>81</v>
      </c>
      <c r="L2" s="1070"/>
      <c r="M2" s="1073" t="s">
        <v>16</v>
      </c>
      <c r="N2" s="1074">
        <f>SU_12002_m+SU_12002_p</f>
        <v>1.6908095579918243</v>
      </c>
      <c r="O2" s="270"/>
    </row>
    <row r="3" spans="1:15" x14ac:dyDescent="0.3">
      <c r="A3" s="1075" t="s">
        <v>3</v>
      </c>
      <c r="B3" s="16" t="s">
        <v>129</v>
      </c>
      <c r="C3" s="1070"/>
      <c r="D3" s="1073" t="s">
        <v>6</v>
      </c>
      <c r="E3" s="88"/>
      <c r="F3" s="1070"/>
      <c r="G3" s="1070"/>
      <c r="H3" s="1070"/>
      <c r="I3" s="1070"/>
      <c r="J3" s="1070"/>
      <c r="K3" s="1070"/>
      <c r="L3" s="1070"/>
      <c r="M3" s="1076" t="s">
        <v>4</v>
      </c>
      <c r="N3" s="1077">
        <v>2</v>
      </c>
      <c r="O3" s="270"/>
    </row>
    <row r="4" spans="1:15" x14ac:dyDescent="0.3">
      <c r="A4" s="1075" t="s">
        <v>5</v>
      </c>
      <c r="B4" s="88" t="str">
        <f>'SU A1200'!B4</f>
        <v>Front Pullrod</v>
      </c>
      <c r="C4" s="1070"/>
      <c r="D4" s="1076" t="s">
        <v>8</v>
      </c>
      <c r="E4" s="1070"/>
      <c r="F4" s="1070"/>
      <c r="G4" s="1070"/>
      <c r="H4" s="1070"/>
      <c r="I4" s="1070"/>
      <c r="J4" s="1073" t="s">
        <v>6</v>
      </c>
      <c r="K4" s="1070"/>
      <c r="L4" s="1070"/>
      <c r="M4" s="1070"/>
      <c r="N4" s="1070"/>
      <c r="O4" s="270"/>
    </row>
    <row r="5" spans="1:15" x14ac:dyDescent="0.3">
      <c r="A5" s="1075" t="s">
        <v>15</v>
      </c>
      <c r="B5" s="747" t="s">
        <v>475</v>
      </c>
      <c r="C5" s="1070"/>
      <c r="D5" s="1076" t="s">
        <v>12</v>
      </c>
      <c r="E5" s="1070"/>
      <c r="F5" s="1070"/>
      <c r="G5" s="1070"/>
      <c r="H5" s="1070"/>
      <c r="I5" s="1070"/>
      <c r="J5" s="1076" t="s">
        <v>8</v>
      </c>
      <c r="K5" s="1070"/>
      <c r="L5" s="1070"/>
      <c r="M5" s="1073" t="s">
        <v>9</v>
      </c>
      <c r="N5" s="1074">
        <f>N2*SU_12002_q</f>
        <v>3.3816191159836486</v>
      </c>
      <c r="O5" s="270"/>
    </row>
    <row r="6" spans="1:15" x14ac:dyDescent="0.3">
      <c r="A6" s="1075" t="s">
        <v>7</v>
      </c>
      <c r="B6" t="s">
        <v>600</v>
      </c>
      <c r="C6" s="1070"/>
      <c r="D6" s="1070"/>
      <c r="E6" s="1070"/>
      <c r="F6" s="1070"/>
      <c r="G6" s="1070"/>
      <c r="H6" s="1070"/>
      <c r="I6" s="1070"/>
      <c r="J6" s="1076" t="s">
        <v>12</v>
      </c>
      <c r="K6" s="1070"/>
      <c r="L6" s="1070"/>
      <c r="M6" s="1070"/>
      <c r="N6" s="1070"/>
      <c r="O6" s="270"/>
    </row>
    <row r="7" spans="1:15" x14ac:dyDescent="0.3">
      <c r="A7" s="1075" t="s">
        <v>10</v>
      </c>
      <c r="B7" s="16" t="s">
        <v>11</v>
      </c>
      <c r="C7" s="1070"/>
      <c r="D7" s="1070"/>
      <c r="E7" s="1070"/>
      <c r="F7" s="1070"/>
      <c r="G7" s="1070"/>
      <c r="H7" s="1070"/>
      <c r="I7" s="1070"/>
      <c r="J7" s="1070"/>
      <c r="K7" s="1070"/>
      <c r="L7" s="1070"/>
      <c r="M7" s="1070"/>
      <c r="N7" s="1070"/>
      <c r="O7" s="270"/>
    </row>
    <row r="8" spans="1:15" x14ac:dyDescent="0.3">
      <c r="A8" s="1075" t="s">
        <v>13</v>
      </c>
      <c r="B8" s="16"/>
      <c r="C8" s="1070"/>
      <c r="D8" s="1070"/>
      <c r="E8" s="1070"/>
      <c r="F8" s="1070"/>
      <c r="G8" s="1070"/>
      <c r="H8" s="1070"/>
      <c r="I8" s="1070"/>
      <c r="J8" s="1070"/>
      <c r="K8" s="1070"/>
      <c r="L8" s="1070"/>
      <c r="M8" s="1070"/>
      <c r="N8" s="1070"/>
      <c r="O8" s="270"/>
    </row>
    <row r="9" spans="1:15" x14ac:dyDescent="0.3">
      <c r="A9" s="1078"/>
      <c r="B9" s="1070"/>
      <c r="C9" s="1070"/>
      <c r="D9" s="1070"/>
      <c r="E9" s="1070"/>
      <c r="F9" s="1070"/>
      <c r="G9" s="1070"/>
      <c r="H9" s="1070"/>
      <c r="I9" s="1070"/>
      <c r="J9" s="1070"/>
      <c r="K9" s="1070"/>
      <c r="L9" s="1070"/>
      <c r="M9" s="1070"/>
      <c r="N9" s="1070"/>
      <c r="O9" s="270"/>
    </row>
    <row r="10" spans="1:15" x14ac:dyDescent="0.3">
      <c r="A10" s="1079" t="s">
        <v>14</v>
      </c>
      <c r="B10" s="1080" t="s">
        <v>19</v>
      </c>
      <c r="C10" s="1080" t="s">
        <v>20</v>
      </c>
      <c r="D10" s="1080" t="s">
        <v>21</v>
      </c>
      <c r="E10" s="1080" t="s">
        <v>22</v>
      </c>
      <c r="F10" s="1080" t="s">
        <v>23</v>
      </c>
      <c r="G10" s="1080" t="s">
        <v>24</v>
      </c>
      <c r="H10" s="1080" t="s">
        <v>25</v>
      </c>
      <c r="I10" s="1080" t="s">
        <v>26</v>
      </c>
      <c r="J10" s="1080" t="s">
        <v>27</v>
      </c>
      <c r="K10" s="1080" t="s">
        <v>28</v>
      </c>
      <c r="L10" s="1080" t="s">
        <v>29</v>
      </c>
      <c r="M10" s="1080" t="s">
        <v>17</v>
      </c>
      <c r="N10" s="1080" t="s">
        <v>18</v>
      </c>
      <c r="O10" s="270"/>
    </row>
    <row r="11" spans="1:15" ht="16.2" customHeight="1" x14ac:dyDescent="0.3">
      <c r="A11" s="1102">
        <v>10</v>
      </c>
      <c r="B11" s="1103" t="s">
        <v>278</v>
      </c>
      <c r="C11" s="1104" t="s">
        <v>490</v>
      </c>
      <c r="D11" s="1105">
        <v>2.25</v>
      </c>
      <c r="E11" s="1106">
        <f>J11*K11*L11</f>
        <v>6.9915359107477454E-2</v>
      </c>
      <c r="F11" s="1106" t="s">
        <v>212</v>
      </c>
      <c r="G11" s="1107"/>
      <c r="H11" s="1108"/>
      <c r="I11" s="928" t="s">
        <v>489</v>
      </c>
      <c r="J11" s="1109">
        <f>PI()*9*9/1000000</f>
        <v>2.5446900494077322E-4</v>
      </c>
      <c r="K11" s="1110">
        <v>3.5000000000000003E-2</v>
      </c>
      <c r="L11" s="1108">
        <v>7850</v>
      </c>
      <c r="M11" s="1111">
        <v>1</v>
      </c>
      <c r="N11" s="1112">
        <f>D11*E11*M11</f>
        <v>0.15730955799182428</v>
      </c>
      <c r="O11" s="926"/>
    </row>
    <row r="12" spans="1:15" x14ac:dyDescent="0.3">
      <c r="A12" s="1090"/>
      <c r="B12" s="1091"/>
      <c r="C12" s="1091"/>
      <c r="D12" s="1091"/>
      <c r="E12" s="1091"/>
      <c r="F12" s="1091"/>
      <c r="G12" s="1091"/>
      <c r="H12" s="1091"/>
      <c r="I12" s="1091"/>
      <c r="J12" s="1091"/>
      <c r="K12" s="1091"/>
      <c r="L12" s="1091"/>
      <c r="M12" s="1092" t="s">
        <v>18</v>
      </c>
      <c r="N12" s="1093">
        <f>N11</f>
        <v>0.15730955799182428</v>
      </c>
      <c r="O12" s="270"/>
    </row>
    <row r="13" spans="1:15" x14ac:dyDescent="0.3">
      <c r="A13" s="1079" t="s">
        <v>14</v>
      </c>
      <c r="B13" s="1080" t="s">
        <v>31</v>
      </c>
      <c r="C13" s="1080" t="s">
        <v>20</v>
      </c>
      <c r="D13" s="1080" t="s">
        <v>21</v>
      </c>
      <c r="E13" s="1080" t="s">
        <v>32</v>
      </c>
      <c r="F13" s="1080" t="s">
        <v>17</v>
      </c>
      <c r="G13" s="1080" t="s">
        <v>33</v>
      </c>
      <c r="H13" s="1080" t="s">
        <v>34</v>
      </c>
      <c r="I13" s="1080" t="s">
        <v>18</v>
      </c>
      <c r="J13" s="1091"/>
      <c r="K13" s="1091"/>
      <c r="L13" s="1091"/>
      <c r="M13" s="1091"/>
      <c r="N13" s="1091"/>
      <c r="O13" s="270"/>
    </row>
    <row r="14" spans="1:15" ht="15" customHeight="1" x14ac:dyDescent="0.3">
      <c r="A14" s="1113">
        <v>10</v>
      </c>
      <c r="B14" s="1114" t="s">
        <v>39</v>
      </c>
      <c r="C14" s="1115" t="s">
        <v>488</v>
      </c>
      <c r="D14" s="1105">
        <v>1.3</v>
      </c>
      <c r="E14" s="1114" t="s">
        <v>32</v>
      </c>
      <c r="F14" s="1116">
        <v>1</v>
      </c>
      <c r="G14" s="1117" t="s">
        <v>420</v>
      </c>
      <c r="H14" s="1116">
        <v>0.25</v>
      </c>
      <c r="I14" s="1118">
        <f>D14*F14*H14</f>
        <v>0.32500000000000001</v>
      </c>
      <c r="J14" s="526"/>
      <c r="K14" s="526"/>
      <c r="L14" s="526"/>
      <c r="M14" s="526"/>
      <c r="N14" s="526"/>
      <c r="O14" s="913"/>
    </row>
    <row r="15" spans="1:15" ht="13.2" customHeight="1" x14ac:dyDescent="0.3">
      <c r="A15" s="1113">
        <v>20</v>
      </c>
      <c r="B15" s="1114" t="s">
        <v>159</v>
      </c>
      <c r="C15" s="1115" t="s">
        <v>487</v>
      </c>
      <c r="D15" s="1105">
        <v>0.04</v>
      </c>
      <c r="E15" s="1114" t="s">
        <v>161</v>
      </c>
      <c r="F15" s="1116">
        <v>5.5</v>
      </c>
      <c r="G15" s="1116" t="s">
        <v>413</v>
      </c>
      <c r="H15" s="1116">
        <v>3</v>
      </c>
      <c r="I15" s="1118">
        <f t="shared" ref="I15:I18" si="0">D15*F15*H15</f>
        <v>0.66</v>
      </c>
      <c r="J15" s="526"/>
      <c r="K15" s="526"/>
      <c r="L15" s="526"/>
      <c r="M15" s="526"/>
      <c r="N15" s="526"/>
      <c r="O15" s="913"/>
    </row>
    <row r="16" spans="1:15" ht="14.4" customHeight="1" x14ac:dyDescent="0.3">
      <c r="A16" s="1102">
        <v>30</v>
      </c>
      <c r="B16" s="1107" t="s">
        <v>486</v>
      </c>
      <c r="C16" s="1119" t="s">
        <v>485</v>
      </c>
      <c r="D16" s="1105">
        <v>0.65</v>
      </c>
      <c r="E16" s="1107" t="s">
        <v>32</v>
      </c>
      <c r="F16" s="1120">
        <v>1</v>
      </c>
      <c r="G16" s="1114" t="s">
        <v>420</v>
      </c>
      <c r="H16" s="1116">
        <v>0.25</v>
      </c>
      <c r="I16" s="1118">
        <f t="shared" si="0"/>
        <v>0.16250000000000001</v>
      </c>
      <c r="J16" s="519"/>
      <c r="K16" s="519"/>
      <c r="L16" s="519"/>
      <c r="M16" s="519"/>
      <c r="N16" s="519"/>
      <c r="O16" s="922"/>
    </row>
    <row r="17" spans="1:15" ht="16.8" customHeight="1" x14ac:dyDescent="0.3">
      <c r="A17" s="1113">
        <v>40</v>
      </c>
      <c r="B17" s="1114" t="s">
        <v>159</v>
      </c>
      <c r="C17" s="1115" t="s">
        <v>267</v>
      </c>
      <c r="D17" s="1105">
        <v>0.04</v>
      </c>
      <c r="E17" s="1114" t="s">
        <v>161</v>
      </c>
      <c r="F17" s="1116">
        <v>0.3</v>
      </c>
      <c r="G17" s="1116" t="s">
        <v>413</v>
      </c>
      <c r="H17" s="1116">
        <v>3</v>
      </c>
      <c r="I17" s="1118">
        <f t="shared" si="0"/>
        <v>3.6000000000000004E-2</v>
      </c>
      <c r="J17" s="522"/>
      <c r="K17" s="522"/>
      <c r="L17" s="522"/>
      <c r="M17" s="522"/>
      <c r="N17" s="522"/>
      <c r="O17" s="913"/>
    </row>
    <row r="18" spans="1:15" ht="15" customHeight="1" x14ac:dyDescent="0.3">
      <c r="A18" s="1113">
        <v>50</v>
      </c>
      <c r="B18" s="1119" t="s">
        <v>484</v>
      </c>
      <c r="C18" s="1119" t="s">
        <v>483</v>
      </c>
      <c r="D18" s="1105">
        <v>0.35</v>
      </c>
      <c r="E18" s="1107" t="s">
        <v>271</v>
      </c>
      <c r="F18" s="1120">
        <v>1</v>
      </c>
      <c r="G18" s="1121"/>
      <c r="H18" s="1116">
        <v>1</v>
      </c>
      <c r="I18" s="1118">
        <f t="shared" si="0"/>
        <v>0.35</v>
      </c>
      <c r="J18" s="524"/>
      <c r="K18" s="524"/>
      <c r="L18" s="524"/>
      <c r="M18" s="524"/>
      <c r="N18" s="524"/>
      <c r="O18" s="917"/>
    </row>
    <row r="19" spans="1:15" x14ac:dyDescent="0.3">
      <c r="A19" s="1090"/>
      <c r="B19" s="1091"/>
      <c r="C19" s="1091"/>
      <c r="D19" s="1091"/>
      <c r="E19" s="1091"/>
      <c r="F19" s="1091"/>
      <c r="G19" s="1091"/>
      <c r="H19" s="1092" t="s">
        <v>18</v>
      </c>
      <c r="I19" s="1095">
        <f>SUM(I14:I18)</f>
        <v>1.5335000000000001</v>
      </c>
      <c r="J19" s="1091"/>
      <c r="K19" s="1091"/>
      <c r="L19" s="1091"/>
      <c r="M19" s="1091"/>
      <c r="N19" s="1091"/>
      <c r="O19" s="270"/>
    </row>
    <row r="20" spans="1:15" x14ac:dyDescent="0.3">
      <c r="A20" s="914"/>
      <c r="B20" s="522"/>
      <c r="C20" s="522"/>
      <c r="D20" s="522"/>
      <c r="E20" s="522"/>
      <c r="F20" s="522"/>
      <c r="G20" s="522"/>
      <c r="H20" s="522"/>
      <c r="I20" s="524"/>
      <c r="J20" s="522"/>
      <c r="K20" s="522"/>
      <c r="L20" s="522"/>
      <c r="M20" s="522"/>
      <c r="N20" s="522"/>
      <c r="O20" s="913"/>
    </row>
    <row r="21" spans="1:15" ht="15" thickBot="1" x14ac:dyDescent="0.35">
      <c r="A21" s="912"/>
      <c r="B21" s="911"/>
      <c r="C21" s="911"/>
      <c r="D21" s="911"/>
      <c r="E21" s="911"/>
      <c r="F21" s="911"/>
      <c r="G21" s="911"/>
      <c r="H21" s="911"/>
      <c r="I21" s="911"/>
      <c r="J21" s="911"/>
      <c r="K21" s="911"/>
      <c r="L21" s="911"/>
      <c r="M21" s="911"/>
      <c r="N21" s="911"/>
      <c r="O21" s="910"/>
    </row>
  </sheetData>
  <hyperlinks>
    <hyperlink ref="B4" location="SU_A1200" display="SU_A1200"/>
    <hyperlink ref="F2" location="SU_A1200_BOM" display="Back to BOM"/>
  </hyperlinks>
  <pageMargins left="0.70866141732283472" right="0.70866141732283472" top="0.74803149606299213" bottom="0.74803149606299213" header="0.31496062992125984" footer="0.31496062992125984"/>
  <pageSetup paperSize="9" scale="50" fitToHeight="99" orientation="landscape" r:id="rId1"/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601</v>
      </c>
    </row>
  </sheetData>
  <hyperlinks>
    <hyperlink ref="B1" location="SU_12002" display="SU_12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40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8" customWidth="1"/>
    <col min="5" max="5" width="15.33203125" customWidth="1"/>
    <col min="6" max="6" width="7.88671875" customWidth="1"/>
    <col min="7" max="7" width="38.2187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SU_12003_m+SU_12003_p</f>
        <v>0.25585628167808949</v>
      </c>
      <c r="O2" s="62"/>
    </row>
    <row r="3" spans="1:16" x14ac:dyDescent="0.3">
      <c r="A3" s="102" t="s">
        <v>3</v>
      </c>
      <c r="B3" s="16" t="str">
        <f>'SU A1200'!B3</f>
        <v>Suspension &amp; Shocks</v>
      </c>
      <c r="C3" s="56"/>
      <c r="D3" s="102" t="s">
        <v>6</v>
      </c>
      <c r="E3" s="281"/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A1200'!B4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0.51171256335617898</v>
      </c>
      <c r="O5" s="62"/>
    </row>
    <row r="6" spans="1:16" x14ac:dyDescent="0.3">
      <c r="A6" s="102" t="s">
        <v>7</v>
      </c>
      <c r="B6" t="s">
        <v>602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122" t="s">
        <v>23</v>
      </c>
      <c r="G10" s="1122" t="s">
        <v>24</v>
      </c>
      <c r="H10" s="1122" t="s">
        <v>25</v>
      </c>
      <c r="I10" s="1122" t="s">
        <v>26</v>
      </c>
      <c r="J10" s="1122" t="s">
        <v>27</v>
      </c>
      <c r="K10" s="1122" t="s">
        <v>28</v>
      </c>
      <c r="L10" s="1122" t="s">
        <v>29</v>
      </c>
      <c r="M10" s="1122" t="s">
        <v>17</v>
      </c>
      <c r="N10" s="1122" t="s">
        <v>18</v>
      </c>
      <c r="O10" s="62"/>
    </row>
    <row r="11" spans="1:16" x14ac:dyDescent="0.3">
      <c r="A11" s="1123">
        <v>10</v>
      </c>
      <c r="B11" s="1124" t="s">
        <v>375</v>
      </c>
      <c r="C11" s="1125" t="s">
        <v>492</v>
      </c>
      <c r="D11" s="1126">
        <v>2.25</v>
      </c>
      <c r="E11" s="1127">
        <f>L11*J11*K11</f>
        <v>7.8916807458175604E-3</v>
      </c>
      <c r="F11" s="1125" t="s">
        <v>212</v>
      </c>
      <c r="G11" s="1125"/>
      <c r="H11" s="1128"/>
      <c r="I11" s="928" t="s">
        <v>491</v>
      </c>
      <c r="J11" s="1109">
        <f>PI()*8*8/1000000</f>
        <v>2.0106192982974677E-4</v>
      </c>
      <c r="K11" s="1129">
        <v>5.0000000000000001E-3</v>
      </c>
      <c r="L11" s="1130">
        <v>7850</v>
      </c>
      <c r="M11" s="1131">
        <v>1</v>
      </c>
      <c r="N11" s="1126">
        <f>IF(J11="",D11*M11,D11*J11*K11*L11*M11)</f>
        <v>1.7756281678089514E-2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32" t="s">
        <v>18</v>
      </c>
      <c r="N12" s="109">
        <f>SUM(N11:N11)</f>
        <v>1.7756281678089514E-2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33" t="s">
        <v>14</v>
      </c>
      <c r="B14" s="1122" t="s">
        <v>31</v>
      </c>
      <c r="C14" s="1122" t="s">
        <v>20</v>
      </c>
      <c r="D14" s="1122" t="s">
        <v>21</v>
      </c>
      <c r="E14" s="1122" t="s">
        <v>32</v>
      </c>
      <c r="F14" s="1122" t="s">
        <v>17</v>
      </c>
      <c r="G14" s="1122" t="s">
        <v>33</v>
      </c>
      <c r="H14" s="1122" t="s">
        <v>34</v>
      </c>
      <c r="I14" s="1122" t="s">
        <v>18</v>
      </c>
      <c r="J14" s="24"/>
      <c r="K14" s="24"/>
      <c r="L14" s="24"/>
      <c r="M14" s="24"/>
      <c r="N14" s="24"/>
      <c r="O14" s="62"/>
    </row>
    <row r="15" spans="1:16" x14ac:dyDescent="0.3">
      <c r="A15" s="1134">
        <v>10</v>
      </c>
      <c r="B15" s="1085" t="s">
        <v>418</v>
      </c>
      <c r="C15" s="1085"/>
      <c r="D15" s="1083">
        <v>1.3</v>
      </c>
      <c r="E15" s="1085" t="s">
        <v>35</v>
      </c>
      <c r="F15" s="1085">
        <v>1</v>
      </c>
      <c r="G15" s="1085" t="s">
        <v>603</v>
      </c>
      <c r="H15" s="1085">
        <f>1/8</f>
        <v>0.125</v>
      </c>
      <c r="I15" s="1083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34">
        <v>20</v>
      </c>
      <c r="B16" s="1085" t="s">
        <v>159</v>
      </c>
      <c r="C16" s="1085"/>
      <c r="D16" s="1083">
        <v>0.04</v>
      </c>
      <c r="E16" s="1085" t="s">
        <v>161</v>
      </c>
      <c r="F16" s="1085">
        <v>0.63</v>
      </c>
      <c r="G16" s="1085" t="s">
        <v>413</v>
      </c>
      <c r="H16" s="1085">
        <v>3</v>
      </c>
      <c r="I16" s="1083">
        <f>D16*F16*H16</f>
        <v>7.5600000000000001E-2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0.23810000000000001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2"/>
      <c r="B22" s="942"/>
      <c r="C22" s="942"/>
      <c r="D22" s="942"/>
      <c r="E22" s="942"/>
      <c r="F22" s="942"/>
      <c r="G22" s="942"/>
      <c r="H22" s="942"/>
      <c r="I22" s="942"/>
      <c r="J22" s="942"/>
      <c r="K22" s="942"/>
      <c r="L22" s="942"/>
      <c r="M22" s="942"/>
      <c r="N22" s="942"/>
      <c r="O22" s="942"/>
      <c r="P22" s="942"/>
    </row>
    <row r="23" spans="1:16" x14ac:dyDescent="0.3">
      <c r="A23" s="942"/>
      <c r="B23" s="947"/>
      <c r="C23" s="943"/>
      <c r="D23" s="943"/>
      <c r="E23" s="943"/>
      <c r="F23" s="943"/>
      <c r="G23" s="963"/>
      <c r="H23" s="943"/>
      <c r="I23" s="943"/>
      <c r="J23" s="943"/>
      <c r="K23" s="966"/>
      <c r="L23" s="946"/>
      <c r="M23" s="943"/>
      <c r="N23" s="947"/>
      <c r="O23" s="954"/>
      <c r="P23" s="942"/>
    </row>
    <row r="24" spans="1:16" x14ac:dyDescent="0.3">
      <c r="A24" s="942"/>
      <c r="B24" s="947"/>
      <c r="C24" s="943"/>
      <c r="D24" s="1135"/>
      <c r="E24" s="963"/>
      <c r="F24" s="943"/>
      <c r="G24" s="943"/>
      <c r="H24" s="943"/>
      <c r="I24" s="943"/>
      <c r="J24" s="943"/>
      <c r="K24" s="943"/>
      <c r="L24" s="943"/>
      <c r="M24" s="943"/>
      <c r="N24" s="947"/>
      <c r="O24" s="964"/>
      <c r="P24" s="942"/>
    </row>
    <row r="25" spans="1:16" x14ac:dyDescent="0.3">
      <c r="A25" s="942"/>
      <c r="B25" s="947"/>
      <c r="C25" s="963"/>
      <c r="D25" s="943"/>
      <c r="E25" s="947"/>
      <c r="F25" s="943"/>
      <c r="G25" s="943"/>
      <c r="H25" s="943"/>
      <c r="I25" s="943"/>
      <c r="J25" s="943"/>
      <c r="K25" s="947"/>
      <c r="L25" s="943"/>
      <c r="M25" s="943"/>
      <c r="N25" s="943"/>
      <c r="O25" s="1136"/>
      <c r="P25" s="942"/>
    </row>
    <row r="26" spans="1:16" x14ac:dyDescent="0.3">
      <c r="A26" s="942"/>
      <c r="B26" s="947"/>
      <c r="C26" s="962"/>
      <c r="D26" s="943"/>
      <c r="E26" s="947"/>
      <c r="F26" s="943"/>
      <c r="G26" s="943"/>
      <c r="H26" s="943"/>
      <c r="I26" s="943"/>
      <c r="J26" s="943"/>
      <c r="K26" s="947"/>
      <c r="L26" s="943"/>
      <c r="M26" s="943"/>
      <c r="N26" s="947"/>
      <c r="O26" s="954"/>
      <c r="P26" s="942"/>
    </row>
    <row r="27" spans="1:16" x14ac:dyDescent="0.3">
      <c r="A27" s="942"/>
      <c r="B27" s="947"/>
      <c r="C27" s="961"/>
      <c r="D27" s="943"/>
      <c r="E27" s="943"/>
      <c r="F27" s="943"/>
      <c r="G27" s="943"/>
      <c r="H27" s="943"/>
      <c r="I27" s="943"/>
      <c r="J27" s="943"/>
      <c r="K27" s="947"/>
      <c r="L27" s="943"/>
      <c r="M27" s="943"/>
      <c r="N27" s="943"/>
      <c r="O27" s="943"/>
      <c r="P27" s="942"/>
    </row>
    <row r="28" spans="1:16" x14ac:dyDescent="0.3">
      <c r="A28" s="942"/>
      <c r="B28" s="947"/>
      <c r="C28" s="943"/>
      <c r="D28" s="943"/>
      <c r="E28" s="943"/>
      <c r="F28" s="943"/>
      <c r="G28" s="943"/>
      <c r="H28" s="943"/>
      <c r="I28" s="943"/>
      <c r="J28" s="943"/>
      <c r="K28" s="943"/>
      <c r="L28" s="943"/>
      <c r="M28" s="943"/>
      <c r="N28" s="943"/>
      <c r="O28" s="943"/>
      <c r="P28" s="942"/>
    </row>
    <row r="29" spans="1:16" x14ac:dyDescent="0.3">
      <c r="A29" s="942"/>
      <c r="B29" s="947"/>
      <c r="C29" s="1136"/>
      <c r="D29" s="1136"/>
      <c r="E29" s="1136"/>
      <c r="F29" s="1136"/>
      <c r="G29" s="1136"/>
      <c r="H29" s="1136"/>
      <c r="I29" s="1136"/>
      <c r="J29" s="1136"/>
      <c r="K29" s="1136"/>
      <c r="L29" s="1136"/>
      <c r="M29" s="1136"/>
      <c r="N29" s="1136"/>
      <c r="O29" s="1136"/>
      <c r="P29" s="942"/>
    </row>
    <row r="30" spans="1:16" x14ac:dyDescent="0.3">
      <c r="A30" s="942"/>
      <c r="B30" s="942"/>
      <c r="C30" s="942"/>
      <c r="D30" s="942"/>
      <c r="E30" s="942"/>
      <c r="F30" s="942"/>
      <c r="G30" s="942"/>
      <c r="H30" s="942"/>
      <c r="I30" s="942"/>
      <c r="J30" s="942"/>
      <c r="K30" s="942"/>
      <c r="L30" s="942"/>
      <c r="M30" s="942"/>
      <c r="N30" s="942"/>
      <c r="O30" s="942"/>
      <c r="P30" s="942"/>
    </row>
    <row r="31" spans="1:16" x14ac:dyDescent="0.3">
      <c r="A31" s="942"/>
      <c r="B31" s="947"/>
      <c r="C31" s="947"/>
      <c r="D31" s="947"/>
      <c r="E31" s="947"/>
      <c r="F31" s="947"/>
      <c r="G31" s="947"/>
      <c r="H31" s="947"/>
      <c r="I31" s="947"/>
      <c r="J31" s="947"/>
      <c r="K31" s="947"/>
      <c r="L31" s="947"/>
      <c r="M31" s="947"/>
      <c r="N31" s="947"/>
      <c r="O31" s="947"/>
      <c r="P31" s="942"/>
    </row>
    <row r="32" spans="1:16" x14ac:dyDescent="0.3">
      <c r="A32" s="942"/>
      <c r="B32" s="943"/>
      <c r="C32" s="943"/>
      <c r="D32" s="943"/>
      <c r="E32" s="950"/>
      <c r="F32" s="960"/>
      <c r="G32" s="943"/>
      <c r="H32" s="943"/>
      <c r="I32" s="959"/>
      <c r="J32" s="958"/>
      <c r="K32" s="957"/>
      <c r="L32" s="956"/>
      <c r="M32" s="955"/>
      <c r="N32" s="955"/>
      <c r="O32" s="954"/>
      <c r="P32" s="942"/>
    </row>
    <row r="33" spans="1:16" x14ac:dyDescent="0.3">
      <c r="A33" s="942"/>
      <c r="B33" s="947"/>
      <c r="C33" s="947"/>
      <c r="D33" s="947"/>
      <c r="E33" s="947"/>
      <c r="F33" s="947"/>
      <c r="G33" s="947"/>
      <c r="H33" s="947"/>
      <c r="I33" s="947"/>
      <c r="J33" s="947"/>
      <c r="K33" s="947"/>
      <c r="L33" s="947"/>
      <c r="M33" s="947"/>
      <c r="N33" s="949"/>
      <c r="O33" s="948"/>
      <c r="P33" s="942"/>
    </row>
    <row r="34" spans="1:16" x14ac:dyDescent="0.3">
      <c r="A34" s="942"/>
      <c r="B34" s="942"/>
      <c r="C34" s="942"/>
      <c r="D34" s="942"/>
      <c r="E34" s="942"/>
      <c r="F34" s="942"/>
      <c r="G34" s="942"/>
      <c r="H34" s="942"/>
      <c r="I34" s="942"/>
      <c r="J34" s="942"/>
      <c r="K34" s="942"/>
      <c r="L34" s="942"/>
      <c r="M34" s="942"/>
      <c r="N34" s="942"/>
      <c r="O34" s="942"/>
      <c r="P34" s="942"/>
    </row>
    <row r="35" spans="1:16" x14ac:dyDescent="0.3">
      <c r="A35" s="942"/>
      <c r="B35" s="947"/>
      <c r="C35" s="947"/>
      <c r="D35" s="947"/>
      <c r="E35" s="947"/>
      <c r="F35" s="947"/>
      <c r="G35" s="947"/>
      <c r="H35" s="947"/>
      <c r="I35" s="947"/>
      <c r="J35" s="947"/>
      <c r="K35" s="947"/>
      <c r="L35" s="947"/>
      <c r="M35" s="947"/>
      <c r="N35" s="947"/>
      <c r="O35" s="947"/>
      <c r="P35" s="942"/>
    </row>
    <row r="36" spans="1:16" x14ac:dyDescent="0.3">
      <c r="A36" s="942"/>
      <c r="B36" s="943"/>
      <c r="C36" s="675"/>
      <c r="D36" s="953"/>
      <c r="E36" s="950"/>
      <c r="F36" s="943"/>
      <c r="G36" s="943"/>
      <c r="H36" s="951"/>
      <c r="I36" s="952"/>
      <c r="J36" s="950"/>
      <c r="K36" s="1136"/>
      <c r="L36" s="1136"/>
      <c r="M36" s="1136"/>
      <c r="N36" s="1136"/>
      <c r="O36" s="1136"/>
      <c r="P36" s="942"/>
    </row>
    <row r="37" spans="1:16" x14ac:dyDescent="0.3">
      <c r="A37" s="942"/>
      <c r="B37" s="943"/>
      <c r="C37" s="675"/>
      <c r="D37" s="953"/>
      <c r="E37" s="950"/>
      <c r="F37" s="943"/>
      <c r="G37" s="952"/>
      <c r="H37" s="951"/>
      <c r="I37" s="943"/>
      <c r="J37" s="950"/>
      <c r="K37" s="1136"/>
      <c r="L37" s="1136"/>
      <c r="M37" s="1136"/>
      <c r="N37" s="1136"/>
      <c r="O37" s="1136"/>
      <c r="P37" s="942"/>
    </row>
    <row r="38" spans="1:16" x14ac:dyDescent="0.3">
      <c r="A38" s="942"/>
      <c r="B38" s="947"/>
      <c r="C38" s="947"/>
      <c r="D38" s="947"/>
      <c r="E38" s="947"/>
      <c r="F38" s="947"/>
      <c r="G38" s="947"/>
      <c r="H38" s="947"/>
      <c r="I38" s="949"/>
      <c r="J38" s="948"/>
      <c r="K38" s="947"/>
      <c r="L38" s="947"/>
      <c r="M38" s="947"/>
      <c r="N38" s="947"/>
      <c r="O38" s="947"/>
      <c r="P38" s="942"/>
    </row>
    <row r="39" spans="1:16" x14ac:dyDescent="0.3">
      <c r="A39" s="942"/>
      <c r="B39" s="1136"/>
      <c r="C39" s="1136"/>
      <c r="D39" s="1136"/>
      <c r="E39" s="1136"/>
      <c r="F39" s="1136"/>
      <c r="G39" s="1136"/>
      <c r="H39" s="1136"/>
      <c r="I39" s="946"/>
      <c r="J39" s="945"/>
      <c r="K39" s="1136"/>
      <c r="L39" s="943"/>
      <c r="M39" s="943"/>
      <c r="N39" s="943"/>
      <c r="O39" s="943"/>
      <c r="P39" s="942"/>
    </row>
    <row r="40" spans="1:16" x14ac:dyDescent="0.3">
      <c r="B40" s="941"/>
      <c r="C40" s="941"/>
      <c r="D40" s="941"/>
      <c r="E40" s="941"/>
      <c r="F40" s="941"/>
      <c r="G40" s="941"/>
      <c r="H40" s="941"/>
      <c r="I40" s="941"/>
      <c r="J40" s="941"/>
      <c r="K40" s="941"/>
      <c r="L40" s="941"/>
      <c r="M40" s="941"/>
      <c r="N40" s="941"/>
      <c r="O40" s="941"/>
    </row>
  </sheetData>
  <hyperlinks>
    <hyperlink ref="B4" location="SU_A1200" display="SU_A1200"/>
    <hyperlink ref="G2" location="SU_A1200_BOM" display="Back to BOM"/>
  </hyperlinks>
  <pageMargins left="0.70866141732283472" right="0.70866141732283472" top="0.74803149606299213" bottom="0.74803149606299213" header="0.31496062992125984" footer="0.31496062992125984"/>
  <pageSetup paperSize="9" scale="53" fitToHeight="99" orientation="landscape" r:id="rId1"/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604</v>
      </c>
    </row>
  </sheetData>
  <hyperlinks>
    <hyperlink ref="B1" location="SU_12003" display="SU_12003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8.44140625" customWidth="1"/>
    <col min="3" max="3" width="15" customWidth="1"/>
    <col min="7" max="7" width="18.5546875" customWidth="1"/>
    <col min="9" max="9" width="14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SU_12003_m+SU_12003_p</f>
        <v>0.25585628167808949</v>
      </c>
      <c r="O2" s="62"/>
    </row>
    <row r="3" spans="1:16" x14ac:dyDescent="0.3">
      <c r="A3" s="102" t="s">
        <v>3</v>
      </c>
      <c r="B3" s="16" t="str">
        <f>'SU A1200'!B3</f>
        <v>Suspension &amp; Shocks</v>
      </c>
      <c r="C3" s="56"/>
      <c r="D3" s="102" t="s">
        <v>6</v>
      </c>
      <c r="E3" s="281"/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A1200'!B4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0.51171256335617898</v>
      </c>
      <c r="O5" s="62"/>
    </row>
    <row r="6" spans="1:16" x14ac:dyDescent="0.3">
      <c r="A6" s="102" t="s">
        <v>7</v>
      </c>
      <c r="B6" t="s">
        <v>605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122" t="s">
        <v>23</v>
      </c>
      <c r="G10" s="1122" t="s">
        <v>24</v>
      </c>
      <c r="H10" s="1122" t="s">
        <v>25</v>
      </c>
      <c r="I10" s="1122" t="s">
        <v>26</v>
      </c>
      <c r="J10" s="1122" t="s">
        <v>27</v>
      </c>
      <c r="K10" s="1122" t="s">
        <v>28</v>
      </c>
      <c r="L10" s="1122" t="s">
        <v>29</v>
      </c>
      <c r="M10" s="1122" t="s">
        <v>17</v>
      </c>
      <c r="N10" s="1122" t="s">
        <v>18</v>
      </c>
      <c r="O10" s="62"/>
    </row>
    <row r="11" spans="1:16" ht="28.8" x14ac:dyDescent="0.3">
      <c r="A11" s="1137">
        <v>10</v>
      </c>
      <c r="B11" s="1138" t="s">
        <v>375</v>
      </c>
      <c r="C11" s="1139" t="s">
        <v>492</v>
      </c>
      <c r="D11" s="1140">
        <v>2.25</v>
      </c>
      <c r="E11" s="1141">
        <f>L11*J11*K11</f>
        <v>9.4700168949810731E-3</v>
      </c>
      <c r="F11" s="1139" t="s">
        <v>212</v>
      </c>
      <c r="G11" s="1139"/>
      <c r="H11" s="1142"/>
      <c r="I11" s="1143" t="s">
        <v>491</v>
      </c>
      <c r="J11" s="1144">
        <f>PI()*8*8/1000000</f>
        <v>2.0106192982974677E-4</v>
      </c>
      <c r="K11" s="1145">
        <v>6.0000000000000001E-3</v>
      </c>
      <c r="L11" s="1146">
        <v>7850</v>
      </c>
      <c r="M11" s="1147">
        <v>1</v>
      </c>
      <c r="N11" s="1140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32" t="s">
        <v>18</v>
      </c>
      <c r="N12" s="109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33" t="s">
        <v>14</v>
      </c>
      <c r="B14" s="1122" t="s">
        <v>31</v>
      </c>
      <c r="C14" s="1122" t="s">
        <v>20</v>
      </c>
      <c r="D14" s="1122" t="s">
        <v>21</v>
      </c>
      <c r="E14" s="1122" t="s">
        <v>32</v>
      </c>
      <c r="F14" s="1122" t="s">
        <v>17</v>
      </c>
      <c r="G14" s="1122" t="s">
        <v>33</v>
      </c>
      <c r="H14" s="1122" t="s">
        <v>34</v>
      </c>
      <c r="I14" s="1122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1148">
        <v>10</v>
      </c>
      <c r="B15" s="1149" t="s">
        <v>418</v>
      </c>
      <c r="C15" s="1149"/>
      <c r="D15" s="1150">
        <v>1.3</v>
      </c>
      <c r="E15" s="1149" t="s">
        <v>35</v>
      </c>
      <c r="F15" s="1149">
        <v>1</v>
      </c>
      <c r="G15" s="1149" t="s">
        <v>603</v>
      </c>
      <c r="H15" s="1149">
        <f>1/8</f>
        <v>0.125</v>
      </c>
      <c r="I15" s="1150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48">
        <v>20</v>
      </c>
      <c r="B16" s="1149" t="s">
        <v>159</v>
      </c>
      <c r="C16" s="1149"/>
      <c r="D16" s="1150">
        <v>0.04</v>
      </c>
      <c r="E16" s="1149" t="s">
        <v>161</v>
      </c>
      <c r="F16" s="1149">
        <v>0.68</v>
      </c>
      <c r="G16" s="1149" t="s">
        <v>413</v>
      </c>
      <c r="H16" s="1149">
        <v>3</v>
      </c>
      <c r="I16" s="1150">
        <f>D16*F16*H16</f>
        <v>8.1600000000000006E-2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0.24410000000000001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1200" display="SU_A1200"/>
    <hyperlink ref="G2" location="SU_A1200_BOM" display="Back to BOM"/>
  </hyperlinks>
  <pageMargins left="0.70866141732283472" right="0.70866141732283472" top="0.74803149606299213" bottom="0.74803149606299213" header="0.31496062992125984" footer="0.31496062992125984"/>
  <pageSetup paperSize="9" scale="67" fitToHeight="99" orientation="landscape" r:id="rId1"/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606</v>
      </c>
    </row>
  </sheetData>
  <hyperlinks>
    <hyperlink ref="B1" location="SU_12004" display="SU_12004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view="pageLayout" zoomScale="70" zoomScaleNormal="80" zoomScalePageLayoutView="70" workbookViewId="0">
      <selection activeCell="E32" sqref="E3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1"/>
      <c r="B1" s="342"/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3"/>
    </row>
    <row r="2" spans="1:17" x14ac:dyDescent="0.3">
      <c r="A2" s="344" t="s">
        <v>0</v>
      </c>
      <c r="B2" s="345" t="s">
        <v>37</v>
      </c>
      <c r="C2" s="346"/>
      <c r="D2" s="346"/>
      <c r="E2" s="346"/>
      <c r="F2" s="346"/>
      <c r="G2" s="347" t="s">
        <v>126</v>
      </c>
      <c r="H2" s="346"/>
      <c r="I2" s="346"/>
      <c r="J2" s="348" t="s">
        <v>1</v>
      </c>
      <c r="K2" s="349">
        <v>81</v>
      </c>
      <c r="L2" s="346"/>
      <c r="M2" s="344" t="s">
        <v>16</v>
      </c>
      <c r="N2" s="350">
        <f>N12+I16</f>
        <v>0.47719727680000001</v>
      </c>
      <c r="O2" s="351"/>
    </row>
    <row r="3" spans="1:17" x14ac:dyDescent="0.3">
      <c r="A3" s="344" t="s">
        <v>3</v>
      </c>
      <c r="B3" s="345" t="str">
        <f>'SU A0100'!B3</f>
        <v>Suspension &amp; Shocks</v>
      </c>
      <c r="C3" s="346"/>
      <c r="D3" s="344" t="s">
        <v>6</v>
      </c>
      <c r="E3" s="388" t="s">
        <v>86</v>
      </c>
      <c r="F3" s="346"/>
      <c r="G3" s="346"/>
      <c r="H3" s="346"/>
      <c r="I3" s="346"/>
      <c r="J3" s="346"/>
      <c r="K3" s="346"/>
      <c r="L3" s="346"/>
      <c r="M3" s="344" t="s">
        <v>4</v>
      </c>
      <c r="N3" s="353">
        <v>2</v>
      </c>
      <c r="O3" s="351"/>
    </row>
    <row r="4" spans="1:17" x14ac:dyDescent="0.3">
      <c r="A4" s="344" t="s">
        <v>5</v>
      </c>
      <c r="B4" s="347" t="str">
        <f>'SU A0100'!B4</f>
        <v>Upper Front A-arm</v>
      </c>
      <c r="C4" s="346"/>
      <c r="D4" s="344" t="s">
        <v>8</v>
      </c>
      <c r="E4" s="346"/>
      <c r="F4" s="346"/>
      <c r="G4" s="346"/>
      <c r="H4" s="346"/>
      <c r="I4" s="346"/>
      <c r="J4" s="354" t="s">
        <v>6</v>
      </c>
      <c r="K4" s="346"/>
      <c r="L4" s="346"/>
      <c r="M4" s="346"/>
      <c r="N4" s="346"/>
      <c r="O4" s="351"/>
    </row>
    <row r="5" spans="1:17" x14ac:dyDescent="0.3">
      <c r="A5" s="344" t="s">
        <v>15</v>
      </c>
      <c r="B5" s="396" t="s">
        <v>135</v>
      </c>
      <c r="C5" s="346"/>
      <c r="D5" s="344" t="s">
        <v>12</v>
      </c>
      <c r="E5" s="346"/>
      <c r="F5" s="346"/>
      <c r="G5" s="346"/>
      <c r="H5" s="346"/>
      <c r="I5" s="346"/>
      <c r="J5" s="354" t="s">
        <v>8</v>
      </c>
      <c r="K5" s="346"/>
      <c r="L5" s="346"/>
      <c r="M5" s="344" t="s">
        <v>9</v>
      </c>
      <c r="N5" s="350">
        <f>N3*N2</f>
        <v>0.95439455360000003</v>
      </c>
      <c r="O5" s="351"/>
    </row>
    <row r="6" spans="1:17" x14ac:dyDescent="0.3">
      <c r="A6" s="344" t="s">
        <v>7</v>
      </c>
      <c r="B6" s="356" t="s">
        <v>191</v>
      </c>
      <c r="C6" s="346"/>
      <c r="D6" s="346"/>
      <c r="E6" s="346"/>
      <c r="F6" s="346"/>
      <c r="G6" s="346"/>
      <c r="H6" s="346"/>
      <c r="I6" s="346"/>
      <c r="J6" s="354" t="s">
        <v>12</v>
      </c>
      <c r="K6" s="346"/>
      <c r="L6" s="346"/>
      <c r="M6" s="346"/>
      <c r="N6" s="346"/>
      <c r="O6" s="351"/>
    </row>
    <row r="7" spans="1:17" x14ac:dyDescent="0.3">
      <c r="A7" s="344" t="s">
        <v>10</v>
      </c>
      <c r="B7" s="345" t="s">
        <v>11</v>
      </c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51"/>
    </row>
    <row r="8" spans="1:17" x14ac:dyDescent="0.3">
      <c r="A8" s="344" t="s">
        <v>13</v>
      </c>
      <c r="B8" s="345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51"/>
    </row>
    <row r="9" spans="1:17" x14ac:dyDescent="0.3">
      <c r="A9" s="357"/>
      <c r="B9" s="358"/>
      <c r="C9" s="358"/>
      <c r="D9" s="358"/>
      <c r="E9" s="358"/>
      <c r="F9" s="346"/>
      <c r="G9" s="346"/>
      <c r="H9" s="346"/>
      <c r="I9" s="346"/>
      <c r="J9" s="346"/>
      <c r="K9" s="346"/>
      <c r="L9" s="346"/>
      <c r="M9" s="346"/>
      <c r="N9" s="346"/>
      <c r="O9" s="351"/>
    </row>
    <row r="10" spans="1:17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7" s="184" customFormat="1" ht="17.399999999999999" customHeight="1" x14ac:dyDescent="0.3">
      <c r="A11" s="397">
        <v>10</v>
      </c>
      <c r="B11" s="398" t="s">
        <v>273</v>
      </c>
      <c r="C11" s="397" t="s">
        <v>274</v>
      </c>
      <c r="D11" s="399">
        <v>4.2</v>
      </c>
      <c r="E11" s="400">
        <v>12</v>
      </c>
      <c r="F11" s="397" t="s">
        <v>30</v>
      </c>
      <c r="G11" s="397"/>
      <c r="H11" s="401"/>
      <c r="I11" s="402" t="s">
        <v>275</v>
      </c>
      <c r="J11" s="403">
        <f>3.14*0.006^2</f>
        <v>1.1304E-4</v>
      </c>
      <c r="K11" s="404">
        <v>0.06</v>
      </c>
      <c r="L11" s="409">
        <v>2710</v>
      </c>
      <c r="M11" s="405">
        <v>1</v>
      </c>
      <c r="N11" s="340">
        <f>IF(J11="",D11*M11,D11*J11*K11*L11*M11)</f>
        <v>7.7197276800000006E-2</v>
      </c>
      <c r="O11" s="410"/>
    </row>
    <row r="12" spans="1:17" x14ac:dyDescent="0.3">
      <c r="A12" s="375"/>
      <c r="B12" s="376"/>
      <c r="C12" s="376"/>
      <c r="D12" s="376"/>
      <c r="E12" s="376"/>
      <c r="F12" s="376"/>
      <c r="G12" s="376"/>
      <c r="H12" s="376"/>
      <c r="I12" s="376"/>
      <c r="J12" s="376"/>
      <c r="K12" s="376"/>
      <c r="L12" s="376"/>
      <c r="M12" s="377" t="s">
        <v>18</v>
      </c>
      <c r="N12" s="378">
        <f>SUM(N11:N11)</f>
        <v>7.7197276800000006E-2</v>
      </c>
      <c r="O12" s="351"/>
    </row>
    <row r="13" spans="1:17" x14ac:dyDescent="0.3">
      <c r="A13" s="379"/>
      <c r="B13" s="346"/>
      <c r="C13" s="346"/>
      <c r="D13" s="346"/>
      <c r="E13" s="346"/>
      <c r="F13" s="346"/>
      <c r="G13" s="346"/>
      <c r="H13" s="346"/>
      <c r="I13" s="346"/>
      <c r="J13" s="346"/>
      <c r="K13" s="346"/>
      <c r="L13" s="346"/>
      <c r="M13" s="346"/>
      <c r="N13" s="346"/>
      <c r="O13" s="351"/>
      <c r="Q13" s="135"/>
    </row>
    <row r="14" spans="1:17" x14ac:dyDescent="0.3">
      <c r="A14" s="380" t="s">
        <v>14</v>
      </c>
      <c r="B14" s="361" t="s">
        <v>31</v>
      </c>
      <c r="C14" s="361" t="s">
        <v>20</v>
      </c>
      <c r="D14" s="361" t="s">
        <v>21</v>
      </c>
      <c r="E14" s="361" t="s">
        <v>32</v>
      </c>
      <c r="F14" s="361" t="s">
        <v>17</v>
      </c>
      <c r="G14" s="361" t="s">
        <v>33</v>
      </c>
      <c r="H14" s="361" t="s">
        <v>34</v>
      </c>
      <c r="I14" s="361" t="s">
        <v>18</v>
      </c>
      <c r="J14" s="376"/>
      <c r="K14" s="376"/>
      <c r="L14" s="376"/>
      <c r="M14" s="376"/>
      <c r="N14" s="376"/>
      <c r="O14" s="351"/>
    </row>
    <row r="15" spans="1:17" x14ac:dyDescent="0.3">
      <c r="A15" s="336">
        <v>10</v>
      </c>
      <c r="B15" s="333" t="s">
        <v>272</v>
      </c>
      <c r="C15" s="406"/>
      <c r="D15" s="407">
        <v>0.4</v>
      </c>
      <c r="E15" s="336" t="s">
        <v>40</v>
      </c>
      <c r="F15" s="336">
        <v>1</v>
      </c>
      <c r="G15" s="336"/>
      <c r="H15" s="336"/>
      <c r="I15" s="408">
        <f>IF(H15="",D15*F15,D15*F15*H15)</f>
        <v>0.4</v>
      </c>
      <c r="J15" s="382"/>
      <c r="K15" s="382"/>
      <c r="L15" s="382"/>
      <c r="M15" s="382"/>
      <c r="N15" s="382"/>
      <c r="O15" s="383"/>
    </row>
    <row r="16" spans="1:17" x14ac:dyDescent="0.3">
      <c r="A16" s="375"/>
      <c r="B16" s="376"/>
      <c r="C16" s="376"/>
      <c r="D16" s="376"/>
      <c r="E16" s="376"/>
      <c r="F16" s="376"/>
      <c r="G16" s="376"/>
      <c r="H16" s="384" t="s">
        <v>18</v>
      </c>
      <c r="I16" s="378">
        <f>SUM(I15:I15)</f>
        <v>0.4</v>
      </c>
      <c r="J16" s="376"/>
      <c r="K16" s="376"/>
      <c r="L16" s="376"/>
      <c r="M16" s="376"/>
      <c r="N16" s="376"/>
      <c r="O16" s="351"/>
    </row>
    <row r="17" spans="1:15" ht="15" thickBot="1" x14ac:dyDescent="0.35">
      <c r="A17" s="385"/>
      <c r="B17" s="386"/>
      <c r="C17" s="386"/>
      <c r="D17" s="386"/>
      <c r="E17" s="386"/>
      <c r="F17" s="386"/>
      <c r="G17" s="386"/>
      <c r="H17" s="386"/>
      <c r="I17" s="386"/>
      <c r="J17" s="386"/>
      <c r="K17" s="386"/>
      <c r="L17" s="386"/>
      <c r="M17" s="386"/>
      <c r="N17" s="386"/>
      <c r="O17" s="387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62" fitToHeight="99" orientation="landscape" r:id="rId1"/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56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SU_A1300_pa+SU_A1300_m+SU_A1300_p+SU_A1300_f</f>
        <v>15.772896471350148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607</v>
      </c>
      <c r="C4" s="715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608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80">
        <f>N2*SU_A1300_q</f>
        <v>31.545792942700295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609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4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168">
        <v>10</v>
      </c>
      <c r="B10" s="281" t="str">
        <f>+'SU 13001'!B5</f>
        <v>Steel cylinder for pushrod</v>
      </c>
      <c r="C10" s="1126">
        <f>'SU 13001'!N2</f>
        <v>1.4513899941560895</v>
      </c>
      <c r="D10" s="1169">
        <f>SU_13001_q</f>
        <v>1</v>
      </c>
      <c r="E10" s="1126">
        <f>C10*D10</f>
        <v>1.4513899941560895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1168">
        <v>20</v>
      </c>
      <c r="B11" s="1170" t="str">
        <f>+'SU 13002'!B5</f>
        <v>Spacer</v>
      </c>
      <c r="C11" s="1126">
        <f>'SU 13002'!N2</f>
        <v>0.26540753801370742</v>
      </c>
      <c r="D11" s="1168">
        <f>SU_13002_q</f>
        <v>4</v>
      </c>
      <c r="E11" s="1126">
        <f>C11*D11</f>
        <v>1.0616301520548297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63"/>
      <c r="B12" s="56"/>
      <c r="C12" s="56"/>
      <c r="D12" s="265" t="s">
        <v>18</v>
      </c>
      <c r="E12" s="244">
        <f>SUM(E10:E11)</f>
        <v>2.513020146210919</v>
      </c>
      <c r="F12" s="57"/>
      <c r="G12" s="57"/>
      <c r="H12" s="57"/>
      <c r="I12" s="57"/>
      <c r="J12" s="57"/>
      <c r="K12" s="57"/>
      <c r="L12" s="57"/>
      <c r="M12" s="57"/>
      <c r="N12" s="57"/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98" t="s">
        <v>14</v>
      </c>
      <c r="B14" s="98" t="s">
        <v>19</v>
      </c>
      <c r="C14" s="98" t="s">
        <v>20</v>
      </c>
      <c r="D14" s="98" t="s">
        <v>21</v>
      </c>
      <c r="E14" s="98" t="s">
        <v>22</v>
      </c>
      <c r="F14" s="98" t="s">
        <v>23</v>
      </c>
      <c r="G14" s="98" t="s">
        <v>24</v>
      </c>
      <c r="H14" s="98" t="s">
        <v>25</v>
      </c>
      <c r="I14" s="98" t="s">
        <v>26</v>
      </c>
      <c r="J14" s="98" t="s">
        <v>27</v>
      </c>
      <c r="K14" s="98" t="s">
        <v>28</v>
      </c>
      <c r="L14" s="98" t="s">
        <v>29</v>
      </c>
      <c r="M14" s="98" t="s">
        <v>17</v>
      </c>
      <c r="N14" s="98" t="s">
        <v>18</v>
      </c>
      <c r="O14" s="62"/>
    </row>
    <row r="15" spans="1:15" x14ac:dyDescent="0.3">
      <c r="A15" s="72">
        <v>10</v>
      </c>
      <c r="B15" s="1171" t="s">
        <v>473</v>
      </c>
      <c r="C15" s="1171" t="s">
        <v>474</v>
      </c>
      <c r="D15" s="1172">
        <f>0.02*E15^2+1.22</f>
        <v>2.5</v>
      </c>
      <c r="E15" s="1171">
        <v>8</v>
      </c>
      <c r="F15" s="1171" t="s">
        <v>30</v>
      </c>
      <c r="G15" s="1171"/>
      <c r="H15" s="1108"/>
      <c r="I15" s="1173" t="s">
        <v>471</v>
      </c>
      <c r="J15" s="1174"/>
      <c r="K15" s="1108"/>
      <c r="L15" s="1108"/>
      <c r="M15" s="1174">
        <v>1</v>
      </c>
      <c r="N15" s="1112">
        <f>D15*M15</f>
        <v>2.5</v>
      </c>
      <c r="O15" s="62"/>
    </row>
    <row r="16" spans="1:15" s="22" customFormat="1" x14ac:dyDescent="0.3">
      <c r="A16" s="72">
        <v>20</v>
      </c>
      <c r="B16" s="1171" t="s">
        <v>473</v>
      </c>
      <c r="C16" s="1171" t="s">
        <v>472</v>
      </c>
      <c r="D16" s="1172">
        <f>0.02*E16^2+1.22</f>
        <v>2.5</v>
      </c>
      <c r="E16" s="1171">
        <v>8</v>
      </c>
      <c r="F16" s="1171" t="s">
        <v>30</v>
      </c>
      <c r="G16" s="1171"/>
      <c r="H16" s="1108"/>
      <c r="I16" s="1175" t="s">
        <v>471</v>
      </c>
      <c r="J16" s="1174"/>
      <c r="K16" s="1108"/>
      <c r="L16" s="1110"/>
      <c r="M16" s="1174">
        <v>1</v>
      </c>
      <c r="N16" s="1112">
        <f>D16*M16</f>
        <v>2.5</v>
      </c>
      <c r="O16" s="66"/>
    </row>
    <row r="17" spans="1:15" x14ac:dyDescent="0.3">
      <c r="A17" s="67"/>
      <c r="B17" s="882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98" t="s">
        <v>18</v>
      </c>
      <c r="N17" s="100">
        <f>SUM(N15:N16)</f>
        <v>5</v>
      </c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62"/>
    </row>
    <row r="19" spans="1:15" s="25" customFormat="1" x14ac:dyDescent="0.3">
      <c r="A19" s="98" t="s">
        <v>14</v>
      </c>
      <c r="B19" s="98" t="s">
        <v>31</v>
      </c>
      <c r="C19" s="98" t="s">
        <v>20</v>
      </c>
      <c r="D19" s="98" t="s">
        <v>21</v>
      </c>
      <c r="E19" s="98" t="s">
        <v>32</v>
      </c>
      <c r="F19" s="98" t="s">
        <v>17</v>
      </c>
      <c r="G19" s="98" t="s">
        <v>33</v>
      </c>
      <c r="H19" s="98" t="s">
        <v>34</v>
      </c>
      <c r="I19" s="98" t="s">
        <v>18</v>
      </c>
      <c r="J19" s="24"/>
      <c r="K19" s="24"/>
      <c r="L19" s="24"/>
      <c r="M19" s="24"/>
      <c r="N19" s="24"/>
      <c r="O19" s="68"/>
    </row>
    <row r="20" spans="1:15" x14ac:dyDescent="0.3">
      <c r="A20" s="72">
        <v>10</v>
      </c>
      <c r="B20" s="1176" t="s">
        <v>363</v>
      </c>
      <c r="C20" s="1177" t="s">
        <v>466</v>
      </c>
      <c r="D20" s="74">
        <v>0.12</v>
      </c>
      <c r="E20" s="72" t="s">
        <v>35</v>
      </c>
      <c r="F20" s="72">
        <v>2</v>
      </c>
      <c r="G20" s="72"/>
      <c r="H20" s="72">
        <v>1</v>
      </c>
      <c r="I20" s="74">
        <f>D20*F20*H20</f>
        <v>0.24</v>
      </c>
      <c r="J20" s="56"/>
      <c r="K20" s="56"/>
      <c r="L20" s="56"/>
      <c r="M20" s="56"/>
      <c r="N20" s="56"/>
      <c r="O20" s="62"/>
    </row>
    <row r="21" spans="1:15" x14ac:dyDescent="0.3">
      <c r="A21" s="72">
        <v>20</v>
      </c>
      <c r="B21" s="1176" t="s">
        <v>465</v>
      </c>
      <c r="C21" s="1177" t="s">
        <v>610</v>
      </c>
      <c r="D21" s="74">
        <v>0.5</v>
      </c>
      <c r="E21" s="876" t="s">
        <v>35</v>
      </c>
      <c r="F21" s="72">
        <v>2</v>
      </c>
      <c r="G21" s="72"/>
      <c r="H21" s="72">
        <v>1</v>
      </c>
      <c r="I21" s="74">
        <f t="shared" ref="I21:I32" si="0">D21*F21*H21</f>
        <v>1</v>
      </c>
      <c r="J21" s="56"/>
      <c r="K21" s="56"/>
      <c r="L21" s="56"/>
      <c r="M21" s="56"/>
      <c r="N21" s="56"/>
      <c r="O21" s="62"/>
    </row>
    <row r="22" spans="1:15" x14ac:dyDescent="0.3">
      <c r="A22" s="72">
        <v>30</v>
      </c>
      <c r="B22" s="1176" t="s">
        <v>463</v>
      </c>
      <c r="C22" s="1177" t="s">
        <v>367</v>
      </c>
      <c r="D22" s="74">
        <v>1.5</v>
      </c>
      <c r="E22" s="72" t="s">
        <v>35</v>
      </c>
      <c r="F22" s="72">
        <v>2</v>
      </c>
      <c r="G22" s="72"/>
      <c r="H22" s="72">
        <v>1</v>
      </c>
      <c r="I22" s="74">
        <f t="shared" si="0"/>
        <v>3</v>
      </c>
      <c r="J22" s="56"/>
      <c r="K22" s="56"/>
      <c r="L22" s="56"/>
      <c r="M22" s="56"/>
      <c r="N22" s="56"/>
      <c r="O22" s="62"/>
    </row>
    <row r="23" spans="1:15" s="17" customFormat="1" x14ac:dyDescent="0.3">
      <c r="A23" s="72">
        <v>40</v>
      </c>
      <c r="B23" s="1176" t="s">
        <v>368</v>
      </c>
      <c r="C23" s="1177" t="s">
        <v>367</v>
      </c>
      <c r="D23" s="74">
        <v>0.25</v>
      </c>
      <c r="E23" s="72" t="s">
        <v>35</v>
      </c>
      <c r="F23" s="72">
        <v>2</v>
      </c>
      <c r="G23" s="72"/>
      <c r="H23" s="72">
        <v>1</v>
      </c>
      <c r="I23" s="74">
        <f t="shared" si="0"/>
        <v>0.5</v>
      </c>
      <c r="J23" s="57"/>
      <c r="K23" s="57"/>
      <c r="L23" s="57"/>
      <c r="M23" s="57"/>
      <c r="N23" s="57"/>
      <c r="O23" s="65"/>
    </row>
    <row r="24" spans="1:15" s="25" customFormat="1" x14ac:dyDescent="0.3">
      <c r="A24" s="72">
        <v>50</v>
      </c>
      <c r="B24" s="1177" t="s">
        <v>360</v>
      </c>
      <c r="C24" s="1177" t="s">
        <v>462</v>
      </c>
      <c r="D24" s="1178">
        <v>0.06</v>
      </c>
      <c r="E24" s="1179" t="s">
        <v>35</v>
      </c>
      <c r="F24" s="1179">
        <v>2</v>
      </c>
      <c r="G24" s="1179"/>
      <c r="H24" s="1179">
        <v>1</v>
      </c>
      <c r="I24" s="74">
        <f t="shared" si="0"/>
        <v>0.12</v>
      </c>
      <c r="J24" s="57"/>
      <c r="K24" s="57"/>
      <c r="L24" s="57"/>
      <c r="M24" s="57"/>
      <c r="N24" s="57"/>
      <c r="O24" s="68"/>
    </row>
    <row r="25" spans="1:15" s="25" customFormat="1" x14ac:dyDescent="0.3">
      <c r="A25" s="238">
        <v>60</v>
      </c>
      <c r="B25" s="1177" t="s">
        <v>360</v>
      </c>
      <c r="C25" s="1177" t="s">
        <v>399</v>
      </c>
      <c r="D25" s="1178">
        <v>0.06</v>
      </c>
      <c r="E25" s="1179" t="s">
        <v>35</v>
      </c>
      <c r="F25" s="1179">
        <v>2</v>
      </c>
      <c r="G25" s="1179"/>
      <c r="H25" s="1179">
        <v>1</v>
      </c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f>A25+10</f>
        <v>70</v>
      </c>
      <c r="B26" s="1176" t="s">
        <v>363</v>
      </c>
      <c r="C26" s="1177" t="s">
        <v>611</v>
      </c>
      <c r="D26" s="1178">
        <v>0.12</v>
      </c>
      <c r="E26" s="1179" t="s">
        <v>35</v>
      </c>
      <c r="F26" s="1179">
        <v>1</v>
      </c>
      <c r="G26" s="1179"/>
      <c r="H26" s="1179">
        <v>1</v>
      </c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238">
        <f t="shared" ref="A27:A32" si="1">A26+10</f>
        <v>80</v>
      </c>
      <c r="B27" s="1179" t="s">
        <v>360</v>
      </c>
      <c r="C27" s="1177" t="s">
        <v>460</v>
      </c>
      <c r="D27" s="1178">
        <v>0.06</v>
      </c>
      <c r="E27" s="1179" t="s">
        <v>35</v>
      </c>
      <c r="F27" s="1179">
        <v>2</v>
      </c>
      <c r="G27" s="1179"/>
      <c r="H27" s="1179">
        <v>1</v>
      </c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238">
        <f t="shared" si="1"/>
        <v>90</v>
      </c>
      <c r="B28" s="1179" t="s">
        <v>360</v>
      </c>
      <c r="C28" s="1177" t="s">
        <v>459</v>
      </c>
      <c r="D28" s="1178">
        <v>0.06</v>
      </c>
      <c r="E28" s="1179" t="s">
        <v>35</v>
      </c>
      <c r="F28" s="1179">
        <v>2</v>
      </c>
      <c r="G28" s="1179"/>
      <c r="H28" s="1179">
        <v>1</v>
      </c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238">
        <f t="shared" si="1"/>
        <v>100</v>
      </c>
      <c r="B29" s="1176" t="s">
        <v>363</v>
      </c>
      <c r="C29" s="1177" t="s">
        <v>612</v>
      </c>
      <c r="D29" s="1178">
        <v>0.12</v>
      </c>
      <c r="E29" s="1179" t="s">
        <v>35</v>
      </c>
      <c r="F29" s="1179">
        <v>1</v>
      </c>
      <c r="G29" s="1179"/>
      <c r="H29" s="1179">
        <v>1</v>
      </c>
      <c r="I29" s="74">
        <f t="shared" si="0"/>
        <v>0.12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238">
        <f t="shared" si="1"/>
        <v>110</v>
      </c>
      <c r="B30" s="1176" t="s">
        <v>363</v>
      </c>
      <c r="C30" s="1177" t="s">
        <v>365</v>
      </c>
      <c r="D30" s="1178">
        <v>0.12</v>
      </c>
      <c r="E30" s="1179" t="s">
        <v>35</v>
      </c>
      <c r="F30" s="1179">
        <v>2</v>
      </c>
      <c r="G30" s="1179"/>
      <c r="H30" s="1179">
        <v>1</v>
      </c>
      <c r="I30" s="74">
        <f t="shared" si="0"/>
        <v>0.24</v>
      </c>
      <c r="J30" s="57"/>
      <c r="K30" s="57"/>
      <c r="L30" s="57"/>
      <c r="M30" s="57"/>
      <c r="N30" s="57"/>
      <c r="O30" s="65"/>
    </row>
    <row r="31" spans="1:15" s="17" customFormat="1" ht="14.4" customHeight="1" x14ac:dyDescent="0.3">
      <c r="A31" s="238">
        <f t="shared" si="1"/>
        <v>120</v>
      </c>
      <c r="B31" s="1176" t="s">
        <v>366</v>
      </c>
      <c r="C31" s="1177" t="s">
        <v>367</v>
      </c>
      <c r="D31" s="1178">
        <v>0.75</v>
      </c>
      <c r="E31" s="1179" t="s">
        <v>35</v>
      </c>
      <c r="F31" s="1179">
        <v>2</v>
      </c>
      <c r="G31" s="1179"/>
      <c r="H31" s="1179">
        <v>1</v>
      </c>
      <c r="I31" s="74">
        <f t="shared" si="0"/>
        <v>1.5</v>
      </c>
      <c r="J31" s="57"/>
      <c r="K31" s="57"/>
      <c r="L31" s="57"/>
      <c r="M31" s="57"/>
      <c r="N31" s="57"/>
      <c r="O31" s="65"/>
    </row>
    <row r="32" spans="1:15" s="17" customFormat="1" ht="14.4" customHeight="1" x14ac:dyDescent="0.3">
      <c r="A32" s="238">
        <f t="shared" si="1"/>
        <v>130</v>
      </c>
      <c r="B32" s="1176" t="s">
        <v>368</v>
      </c>
      <c r="C32" s="1177" t="s">
        <v>367</v>
      </c>
      <c r="D32" s="1178">
        <v>0.25</v>
      </c>
      <c r="E32" s="1179" t="s">
        <v>35</v>
      </c>
      <c r="F32" s="1179">
        <v>2</v>
      </c>
      <c r="G32" s="1179"/>
      <c r="H32" s="1179">
        <v>1</v>
      </c>
      <c r="I32" s="74">
        <f t="shared" si="0"/>
        <v>0.5</v>
      </c>
      <c r="J32" s="57"/>
      <c r="K32" s="57"/>
      <c r="L32" s="57"/>
      <c r="M32" s="57"/>
      <c r="N32" s="57"/>
      <c r="O32" s="65"/>
    </row>
    <row r="33" spans="1:15" x14ac:dyDescent="0.3">
      <c r="A33" s="67"/>
      <c r="B33" s="24"/>
      <c r="C33" s="24"/>
      <c r="D33" s="24"/>
      <c r="E33" s="24"/>
      <c r="F33" s="24"/>
      <c r="G33" s="24"/>
      <c r="H33" s="101" t="s">
        <v>18</v>
      </c>
      <c r="I33" s="100">
        <f>SUM(I20:I32)</f>
        <v>7.7000000000000011</v>
      </c>
      <c r="J33" s="56"/>
      <c r="K33" s="56"/>
      <c r="L33" s="56"/>
      <c r="M33" s="56"/>
      <c r="N33" s="56"/>
      <c r="O33" s="62"/>
    </row>
    <row r="34" spans="1:15" x14ac:dyDescent="0.3">
      <c r="A34" s="63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62"/>
    </row>
    <row r="35" spans="1:15" x14ac:dyDescent="0.3">
      <c r="A35" s="98" t="s">
        <v>14</v>
      </c>
      <c r="B35" s="98" t="s">
        <v>36</v>
      </c>
      <c r="C35" s="98" t="s">
        <v>20</v>
      </c>
      <c r="D35" s="98" t="s">
        <v>21</v>
      </c>
      <c r="E35" s="98" t="s">
        <v>22</v>
      </c>
      <c r="F35" s="98" t="s">
        <v>23</v>
      </c>
      <c r="G35" s="98" t="s">
        <v>24</v>
      </c>
      <c r="H35" s="98" t="s">
        <v>25</v>
      </c>
      <c r="I35" s="98" t="s">
        <v>17</v>
      </c>
      <c r="J35" s="98" t="s">
        <v>18</v>
      </c>
      <c r="K35" s="56"/>
      <c r="L35" s="56"/>
      <c r="M35" s="56"/>
      <c r="N35" s="56"/>
      <c r="O35" s="62"/>
    </row>
    <row r="36" spans="1:15" x14ac:dyDescent="0.3">
      <c r="A36" s="72">
        <v>10</v>
      </c>
      <c r="B36" s="72" t="s">
        <v>369</v>
      </c>
      <c r="C36" s="72" t="s">
        <v>613</v>
      </c>
      <c r="D36" s="670">
        <f>0.8/105154*E36^2*G36*SQRT(G36)+0.003*EXP(0.319*E36)</f>
        <v>0.18547981844542938</v>
      </c>
      <c r="E36" s="671">
        <v>8</v>
      </c>
      <c r="F36" s="671" t="s">
        <v>30</v>
      </c>
      <c r="G36" s="671">
        <v>45</v>
      </c>
      <c r="H36" s="671" t="s">
        <v>30</v>
      </c>
      <c r="I36" s="82">
        <v>1</v>
      </c>
      <c r="J36" s="74">
        <f>D36*I36</f>
        <v>0.18547981844542938</v>
      </c>
      <c r="K36" s="56"/>
      <c r="L36" s="56"/>
      <c r="M36" s="56"/>
      <c r="N36" s="56"/>
      <c r="O36" s="62"/>
    </row>
    <row r="37" spans="1:15" x14ac:dyDescent="0.3">
      <c r="A37" s="72">
        <f>A36+10</f>
        <v>20</v>
      </c>
      <c r="B37" s="72" t="s">
        <v>369</v>
      </c>
      <c r="C37" s="72" t="s">
        <v>614</v>
      </c>
      <c r="D37" s="670">
        <f>0.8/105154*E37^2*G37*SQRT(G37)+0.003*EXP(0.319*E37)</f>
        <v>0.18547981844542938</v>
      </c>
      <c r="E37" s="671">
        <v>8</v>
      </c>
      <c r="F37" s="671" t="s">
        <v>30</v>
      </c>
      <c r="G37" s="671">
        <v>45</v>
      </c>
      <c r="H37" s="671" t="s">
        <v>30</v>
      </c>
      <c r="I37" s="82">
        <v>1</v>
      </c>
      <c r="J37" s="74">
        <f t="shared" ref="J37:J40" si="2">D37*I37</f>
        <v>0.18547981844542938</v>
      </c>
      <c r="K37" s="56"/>
      <c r="L37" s="56"/>
      <c r="M37" s="56"/>
      <c r="N37" s="56"/>
      <c r="O37" s="62"/>
    </row>
    <row r="38" spans="1:15" x14ac:dyDescent="0.3">
      <c r="A38" s="72">
        <f t="shared" ref="A38:A40" si="3">A37+10</f>
        <v>30</v>
      </c>
      <c r="B38" s="72" t="s">
        <v>371</v>
      </c>
      <c r="C38" s="72"/>
      <c r="D38" s="670">
        <v>0.01</v>
      </c>
      <c r="E38" s="72">
        <v>8</v>
      </c>
      <c r="F38" s="672" t="s">
        <v>35</v>
      </c>
      <c r="G38" s="72"/>
      <c r="H38" s="72"/>
      <c r="I38" s="82">
        <v>4</v>
      </c>
      <c r="J38" s="74">
        <f t="shared" si="2"/>
        <v>0.04</v>
      </c>
      <c r="K38" s="56"/>
      <c r="L38" s="56"/>
      <c r="M38" s="56"/>
      <c r="N38" s="56"/>
      <c r="O38" s="62"/>
    </row>
    <row r="39" spans="1:15" x14ac:dyDescent="0.3">
      <c r="A39" s="72">
        <f t="shared" si="3"/>
        <v>40</v>
      </c>
      <c r="B39" s="72" t="s">
        <v>372</v>
      </c>
      <c r="C39" s="72" t="s">
        <v>455</v>
      </c>
      <c r="D39" s="670">
        <f>0.009*EXP(0.2*E39)</f>
        <v>2.9881052304628931E-2</v>
      </c>
      <c r="E39" s="72">
        <v>6</v>
      </c>
      <c r="F39" s="672" t="s">
        <v>30</v>
      </c>
      <c r="G39" s="72"/>
      <c r="H39" s="72"/>
      <c r="I39" s="82">
        <v>2</v>
      </c>
      <c r="J39" s="74">
        <f t="shared" si="2"/>
        <v>5.9762104609257863E-2</v>
      </c>
      <c r="K39" s="56"/>
      <c r="L39" s="56"/>
      <c r="M39" s="56"/>
      <c r="N39" s="56"/>
      <c r="O39" s="62"/>
    </row>
    <row r="40" spans="1:15" x14ac:dyDescent="0.3">
      <c r="A40" s="72">
        <f t="shared" si="3"/>
        <v>50</v>
      </c>
      <c r="B40" s="72" t="s">
        <v>372</v>
      </c>
      <c r="C40" s="72" t="s">
        <v>454</v>
      </c>
      <c r="D40" s="670">
        <f>0.009*EXP(0.2*E40)</f>
        <v>4.4577291819556032E-2</v>
      </c>
      <c r="E40" s="72">
        <v>8</v>
      </c>
      <c r="F40" s="672" t="s">
        <v>30</v>
      </c>
      <c r="G40" s="72"/>
      <c r="H40" s="72"/>
      <c r="I40" s="82">
        <v>2</v>
      </c>
      <c r="J40" s="74">
        <f t="shared" si="2"/>
        <v>8.9154583639112064E-2</v>
      </c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4"/>
      <c r="I41" s="101" t="s">
        <v>18</v>
      </c>
      <c r="J41" s="100">
        <f>SUM(J36:J40)</f>
        <v>0.55987632513922869</v>
      </c>
      <c r="K41" s="56"/>
      <c r="L41" s="56"/>
      <c r="M41" s="56"/>
      <c r="N41" s="56"/>
      <c r="O41" s="62"/>
    </row>
    <row r="42" spans="1:15" x14ac:dyDescent="0.3">
      <c r="A42" s="63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62"/>
    </row>
    <row r="43" spans="1:15" ht="15" thickBot="1" x14ac:dyDescent="0.35">
      <c r="A43" s="69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1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1" location="SU_13002" display="SU_13002"/>
    <hyperlink ref="B10" location="SU_13001" display="SU_13001"/>
  </hyperlinks>
  <pageMargins left="0.70866141732283472" right="0.70866141732283472" top="0.74803149606299213" bottom="0.74803149606299213" header="0.31496062992125984" footer="0.31496062992125984"/>
  <pageSetup paperSize="9" scale="65" firstPageNumber="0" fitToHeight="99" orientation="landscape" r:id="rId1"/>
  <rowBreaks count="1" manualBreakCount="1">
    <brk id="43" max="16383" man="1"/>
  </rowBreaks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3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2.88671875" customWidth="1"/>
    <col min="10" max="10" width="13.5546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1069" t="s">
        <v>0</v>
      </c>
      <c r="B2" s="16" t="s">
        <v>37</v>
      </c>
      <c r="C2" s="1070"/>
      <c r="D2" s="1070"/>
      <c r="E2" s="1070"/>
      <c r="F2" s="798" t="s">
        <v>126</v>
      </c>
      <c r="G2" s="1070"/>
      <c r="H2" s="1070"/>
      <c r="I2" s="1070"/>
      <c r="J2" s="1071" t="s">
        <v>1</v>
      </c>
      <c r="K2" s="1072">
        <v>81</v>
      </c>
      <c r="L2" s="1070"/>
      <c r="M2" s="1073" t="s">
        <v>16</v>
      </c>
      <c r="N2" s="1074">
        <f>SU_13001_m+SU_13001_p</f>
        <v>1.4513899941560895</v>
      </c>
      <c r="O2" s="270"/>
    </row>
    <row r="3" spans="1:15" x14ac:dyDescent="0.3">
      <c r="A3" s="1075" t="s">
        <v>3</v>
      </c>
      <c r="B3" s="16" t="str">
        <f>'SU A1300'!B3</f>
        <v>Suspension &amp; Shocks</v>
      </c>
      <c r="C3" s="1070"/>
      <c r="D3" s="1073" t="s">
        <v>6</v>
      </c>
      <c r="E3" s="88" t="s">
        <v>86</v>
      </c>
      <c r="F3" s="1070"/>
      <c r="G3" s="1070"/>
      <c r="H3" s="1070"/>
      <c r="I3" s="1070"/>
      <c r="J3" s="1070"/>
      <c r="K3" s="1070"/>
      <c r="L3" s="1070"/>
      <c r="M3" s="1076" t="s">
        <v>4</v>
      </c>
      <c r="N3" s="1077">
        <v>1</v>
      </c>
      <c r="O3" s="270"/>
    </row>
    <row r="4" spans="1:15" x14ac:dyDescent="0.3">
      <c r="A4" s="1075" t="s">
        <v>5</v>
      </c>
      <c r="B4" s="88" t="str">
        <f>'SU A1300'!B4</f>
        <v>Rear Pushrod</v>
      </c>
      <c r="C4" s="1070"/>
      <c r="D4" s="1076" t="s">
        <v>8</v>
      </c>
      <c r="E4" s="1070"/>
      <c r="F4" s="1070"/>
      <c r="G4" s="1070"/>
      <c r="H4" s="1070"/>
      <c r="I4" s="1070"/>
      <c r="J4" s="1073" t="s">
        <v>6</v>
      </c>
      <c r="K4" s="1070"/>
      <c r="L4" s="1070"/>
      <c r="M4" s="1070"/>
      <c r="N4" s="1070"/>
      <c r="O4" s="270"/>
    </row>
    <row r="5" spans="1:15" x14ac:dyDescent="0.3">
      <c r="A5" s="1075" t="s">
        <v>15</v>
      </c>
      <c r="B5" s="747" t="s">
        <v>615</v>
      </c>
      <c r="C5" s="1070"/>
      <c r="D5" s="1076" t="s">
        <v>12</v>
      </c>
      <c r="E5" s="1070"/>
      <c r="F5" s="1070"/>
      <c r="G5" s="1070"/>
      <c r="H5" s="1070"/>
      <c r="I5" s="1070"/>
      <c r="J5" s="1076" t="s">
        <v>8</v>
      </c>
      <c r="K5" s="1070"/>
      <c r="L5" s="1070"/>
      <c r="M5" s="1073" t="s">
        <v>9</v>
      </c>
      <c r="N5" s="1074">
        <f>N2*SU_13001_q</f>
        <v>1.4513899941560895</v>
      </c>
      <c r="O5" s="270"/>
    </row>
    <row r="6" spans="1:15" x14ac:dyDescent="0.3">
      <c r="A6" s="1075" t="s">
        <v>7</v>
      </c>
      <c r="B6" s="56" t="s">
        <v>616</v>
      </c>
      <c r="C6" s="1070"/>
      <c r="D6" s="1070"/>
      <c r="E6" s="1070"/>
      <c r="F6" s="1070"/>
      <c r="G6" s="1070"/>
      <c r="H6" s="1070"/>
      <c r="I6" s="1070"/>
      <c r="J6" s="1076" t="s">
        <v>12</v>
      </c>
      <c r="K6" s="1070"/>
      <c r="L6" s="1070"/>
      <c r="M6" s="1070"/>
      <c r="N6" s="1070"/>
      <c r="O6" s="270"/>
    </row>
    <row r="7" spans="1:15" x14ac:dyDescent="0.3">
      <c r="A7" s="1075" t="s">
        <v>10</v>
      </c>
      <c r="B7" s="16" t="s">
        <v>11</v>
      </c>
      <c r="C7" s="1070"/>
      <c r="D7" s="1070"/>
      <c r="E7" s="1070"/>
      <c r="F7" s="1070"/>
      <c r="G7" s="1070"/>
      <c r="H7" s="1070"/>
      <c r="I7" s="1070"/>
      <c r="J7" s="1070"/>
      <c r="K7" s="1070"/>
      <c r="L7" s="1070"/>
      <c r="M7" s="1070"/>
      <c r="N7" s="1070"/>
      <c r="O7" s="270"/>
    </row>
    <row r="8" spans="1:15" x14ac:dyDescent="0.3">
      <c r="A8" s="1075" t="s">
        <v>13</v>
      </c>
      <c r="B8" s="16"/>
      <c r="C8" s="1070"/>
      <c r="D8" s="1070"/>
      <c r="E8" s="1070"/>
      <c r="F8" s="1070"/>
      <c r="G8" s="1070"/>
      <c r="H8" s="1070"/>
      <c r="I8" s="1070"/>
      <c r="J8" s="1070"/>
      <c r="K8" s="1070"/>
      <c r="L8" s="1070"/>
      <c r="M8" s="1070"/>
      <c r="N8" s="1070"/>
      <c r="O8" s="270"/>
    </row>
    <row r="9" spans="1:15" x14ac:dyDescent="0.3">
      <c r="A9" s="1078"/>
      <c r="B9" s="1070"/>
      <c r="C9" s="1070"/>
      <c r="D9" s="1070"/>
      <c r="E9" s="1070"/>
      <c r="F9" s="1070"/>
      <c r="G9" s="1070"/>
      <c r="H9" s="1070"/>
      <c r="I9" s="1070"/>
      <c r="J9" s="1070"/>
      <c r="K9" s="1070"/>
      <c r="L9" s="1070"/>
      <c r="M9" s="1070"/>
      <c r="N9" s="1070"/>
      <c r="O9" s="270"/>
    </row>
    <row r="10" spans="1:15" x14ac:dyDescent="0.3">
      <c r="A10" s="1079" t="s">
        <v>14</v>
      </c>
      <c r="B10" s="1080" t="s">
        <v>19</v>
      </c>
      <c r="C10" s="1080" t="s">
        <v>20</v>
      </c>
      <c r="D10" s="1080" t="s">
        <v>21</v>
      </c>
      <c r="E10" s="1080" t="s">
        <v>22</v>
      </c>
      <c r="F10" s="1080" t="s">
        <v>23</v>
      </c>
      <c r="G10" s="1080" t="s">
        <v>24</v>
      </c>
      <c r="H10" s="1080" t="s">
        <v>25</v>
      </c>
      <c r="I10" s="1080" t="s">
        <v>26</v>
      </c>
      <c r="J10" s="1080" t="s">
        <v>27</v>
      </c>
      <c r="K10" s="1080" t="s">
        <v>28</v>
      </c>
      <c r="L10" s="1080" t="s">
        <v>29</v>
      </c>
      <c r="M10" s="1080" t="s">
        <v>17</v>
      </c>
      <c r="N10" s="1080" t="s">
        <v>18</v>
      </c>
      <c r="O10" s="270"/>
    </row>
    <row r="11" spans="1:15" ht="15" customHeight="1" x14ac:dyDescent="0.3">
      <c r="A11" s="1081">
        <v>10</v>
      </c>
      <c r="B11" s="807" t="s">
        <v>617</v>
      </c>
      <c r="C11" s="1082" t="s">
        <v>618</v>
      </c>
      <c r="D11" s="1083">
        <v>2.25</v>
      </c>
      <c r="E11" s="1084">
        <f>J11*K11*L11</f>
        <v>4.5062219624928589E-2</v>
      </c>
      <c r="F11" s="1085" t="s">
        <v>212</v>
      </c>
      <c r="G11" s="1085"/>
      <c r="H11" s="1086"/>
      <c r="I11" s="1087" t="s">
        <v>619</v>
      </c>
      <c r="J11" s="1087">
        <f>PI()*(7.5*10^-3)^2</f>
        <v>1.7671458676442585E-4</v>
      </c>
      <c r="K11" s="1088">
        <v>0.03</v>
      </c>
      <c r="L11" s="1089">
        <v>8500</v>
      </c>
      <c r="M11" s="1089">
        <v>1</v>
      </c>
      <c r="N11" s="1083">
        <f>D11*E11</f>
        <v>0.10138999415608932</v>
      </c>
      <c r="O11" s="270"/>
    </row>
    <row r="12" spans="1:15" x14ac:dyDescent="0.3">
      <c r="A12" s="1090"/>
      <c r="B12" s="1091"/>
      <c r="C12" s="1091"/>
      <c r="D12" s="1091"/>
      <c r="E12" s="1091"/>
      <c r="F12" s="1091"/>
      <c r="G12" s="1091"/>
      <c r="H12" s="1091"/>
      <c r="I12" s="1091"/>
      <c r="J12" s="1091"/>
      <c r="K12" s="1091"/>
      <c r="L12" s="1091"/>
      <c r="M12" s="1092" t="s">
        <v>18</v>
      </c>
      <c r="N12" s="1093">
        <f>N11</f>
        <v>0.10138999415608932</v>
      </c>
      <c r="O12" s="270"/>
    </row>
    <row r="13" spans="1:15" x14ac:dyDescent="0.3">
      <c r="A13" s="1078"/>
      <c r="B13" s="1070"/>
      <c r="C13" s="1070"/>
      <c r="D13" s="1070"/>
      <c r="E13" s="1070"/>
      <c r="F13" s="1070"/>
      <c r="G13" s="1070"/>
      <c r="H13" s="1070"/>
      <c r="I13" s="1070"/>
      <c r="J13" s="1070"/>
      <c r="K13" s="1070"/>
      <c r="L13" s="1070"/>
      <c r="M13" s="1070"/>
      <c r="N13" s="1070"/>
      <c r="O13" s="270"/>
    </row>
    <row r="14" spans="1:15" x14ac:dyDescent="0.3">
      <c r="A14" s="1180" t="s">
        <v>14</v>
      </c>
      <c r="B14" s="1181" t="s">
        <v>31</v>
      </c>
      <c r="C14" s="1181" t="s">
        <v>20</v>
      </c>
      <c r="D14" s="1181" t="s">
        <v>21</v>
      </c>
      <c r="E14" s="1181" t="s">
        <v>32</v>
      </c>
      <c r="F14" s="1181" t="s">
        <v>17</v>
      </c>
      <c r="G14" s="1181" t="s">
        <v>33</v>
      </c>
      <c r="H14" s="1181" t="s">
        <v>34</v>
      </c>
      <c r="I14" s="1181" t="s">
        <v>18</v>
      </c>
      <c r="J14" s="1091"/>
      <c r="K14" s="1091"/>
      <c r="L14" s="1091"/>
      <c r="M14" s="1091"/>
      <c r="N14" s="1091"/>
      <c r="O14" s="270"/>
    </row>
    <row r="15" spans="1:15" x14ac:dyDescent="0.3">
      <c r="A15" s="1182">
        <v>10</v>
      </c>
      <c r="B15" s="1183" t="s">
        <v>39</v>
      </c>
      <c r="C15" s="1183"/>
      <c r="D15" s="1184">
        <v>1.3</v>
      </c>
      <c r="E15" s="1183" t="s">
        <v>35</v>
      </c>
      <c r="F15" s="1183">
        <v>1</v>
      </c>
      <c r="G15" s="1183" t="s">
        <v>452</v>
      </c>
      <c r="H15" s="1183">
        <v>0.5</v>
      </c>
      <c r="I15" s="1184">
        <f>D15*H15*F15</f>
        <v>0.65</v>
      </c>
      <c r="J15" s="1070"/>
      <c r="K15" s="1070"/>
      <c r="L15" s="1070"/>
      <c r="M15" s="1070"/>
      <c r="N15" s="1070"/>
      <c r="O15" s="270"/>
    </row>
    <row r="16" spans="1:15" x14ac:dyDescent="0.3">
      <c r="A16" s="1182">
        <v>20</v>
      </c>
      <c r="B16" s="1183" t="s">
        <v>408</v>
      </c>
      <c r="C16" s="1183" t="s">
        <v>409</v>
      </c>
      <c r="D16" s="1184">
        <v>0.04</v>
      </c>
      <c r="E16" s="1183" t="s">
        <v>161</v>
      </c>
      <c r="F16" s="1183">
        <v>1.04</v>
      </c>
      <c r="G16" s="1183" t="s">
        <v>413</v>
      </c>
      <c r="H16" s="1183">
        <v>3</v>
      </c>
      <c r="I16" s="1184">
        <f>D16*F16*H16</f>
        <v>0.12480000000000002</v>
      </c>
      <c r="J16" s="1070"/>
      <c r="K16" s="1070"/>
      <c r="L16" s="1070"/>
      <c r="M16" s="1070"/>
      <c r="N16" s="1070"/>
      <c r="O16" s="270"/>
    </row>
    <row r="17" spans="1:15" x14ac:dyDescent="0.3">
      <c r="A17" s="1182">
        <v>30</v>
      </c>
      <c r="B17" s="1114" t="s">
        <v>620</v>
      </c>
      <c r="C17" s="1185" t="s">
        <v>267</v>
      </c>
      <c r="D17" s="1184">
        <v>0.35</v>
      </c>
      <c r="E17" s="1114" t="s">
        <v>271</v>
      </c>
      <c r="F17" s="1114">
        <v>2</v>
      </c>
      <c r="G17" s="1114" t="s">
        <v>621</v>
      </c>
      <c r="H17" s="1186">
        <v>1</v>
      </c>
      <c r="I17" s="1184">
        <f>D17*F17*H17</f>
        <v>0.7</v>
      </c>
      <c r="J17" s="1070"/>
      <c r="K17" s="1070"/>
      <c r="L17" s="1070"/>
      <c r="M17" s="1070"/>
      <c r="N17" s="1070"/>
      <c r="O17" s="270"/>
    </row>
    <row r="18" spans="1:15" ht="14.4" customHeight="1" x14ac:dyDescent="0.3">
      <c r="A18" s="1182">
        <v>40</v>
      </c>
      <c r="B18" s="1107" t="s">
        <v>486</v>
      </c>
      <c r="C18" s="1119" t="s">
        <v>485</v>
      </c>
      <c r="D18" s="1105">
        <v>0.65</v>
      </c>
      <c r="E18" s="1107" t="s">
        <v>32</v>
      </c>
      <c r="F18" s="1120">
        <v>1</v>
      </c>
      <c r="G18" s="1114" t="s">
        <v>452</v>
      </c>
      <c r="H18" s="1183">
        <v>0.5</v>
      </c>
      <c r="I18" s="1118">
        <f t="shared" ref="I18" si="0">D18*F18*H18</f>
        <v>0.32500000000000001</v>
      </c>
      <c r="J18" s="519"/>
      <c r="K18" s="519"/>
      <c r="L18" s="519"/>
      <c r="M18" s="519"/>
      <c r="N18" s="519"/>
      <c r="O18" s="922"/>
    </row>
    <row r="19" spans="1:15" x14ac:dyDescent="0.3">
      <c r="A19" s="1182">
        <v>50</v>
      </c>
      <c r="B19" s="1114" t="s">
        <v>620</v>
      </c>
      <c r="C19" s="1185" t="s">
        <v>267</v>
      </c>
      <c r="D19" s="1184">
        <v>0.35</v>
      </c>
      <c r="E19" s="1114" t="s">
        <v>271</v>
      </c>
      <c r="F19" s="1114">
        <v>2</v>
      </c>
      <c r="G19" s="1114" t="s">
        <v>621</v>
      </c>
      <c r="H19" s="1186">
        <v>1</v>
      </c>
      <c r="I19" s="1184">
        <f>D19*F19*H19</f>
        <v>0.7</v>
      </c>
      <c r="J19" s="1070"/>
      <c r="K19" s="1070"/>
      <c r="L19" s="1070"/>
      <c r="M19" s="1070"/>
      <c r="N19" s="1070"/>
      <c r="O19" s="270"/>
    </row>
    <row r="20" spans="1:15" x14ac:dyDescent="0.3">
      <c r="A20" s="1090"/>
      <c r="B20" s="1091"/>
      <c r="C20" s="1091"/>
      <c r="D20" s="1091"/>
      <c r="E20" s="1091"/>
      <c r="F20" s="1091"/>
      <c r="G20" s="1091"/>
      <c r="H20" s="1092" t="s">
        <v>18</v>
      </c>
      <c r="I20" s="1095">
        <f>I15+I17</f>
        <v>1.35</v>
      </c>
      <c r="J20" s="1091"/>
      <c r="K20" s="1091"/>
      <c r="L20" s="1091"/>
      <c r="M20" s="1091"/>
      <c r="N20" s="1091"/>
      <c r="O20" s="270"/>
    </row>
    <row r="21" spans="1:15" x14ac:dyDescent="0.3">
      <c r="A21" s="1078"/>
      <c r="B21" s="1070"/>
      <c r="C21" s="1070"/>
      <c r="D21" s="1070"/>
      <c r="E21" s="1070"/>
      <c r="F21" s="1070"/>
      <c r="G21" s="1070"/>
      <c r="H21" s="1072"/>
      <c r="I21" s="1074"/>
      <c r="J21" s="1070"/>
      <c r="K21" s="1070"/>
      <c r="L21" s="1070"/>
      <c r="M21" s="1070"/>
      <c r="N21" s="1070"/>
      <c r="O21" s="270"/>
    </row>
    <row r="22" spans="1:15" ht="15" thickBot="1" x14ac:dyDescent="0.35">
      <c r="A22" s="1096"/>
      <c r="B22" s="1097"/>
      <c r="C22" s="1097"/>
      <c r="D22" s="1097"/>
      <c r="E22" s="1097"/>
      <c r="F22" s="1097"/>
      <c r="G22" s="1097"/>
      <c r="H22" s="1097"/>
      <c r="I22" s="1097"/>
      <c r="J22" s="1097"/>
      <c r="K22" s="1097"/>
      <c r="L22" s="1097"/>
      <c r="M22" s="1097"/>
      <c r="N22" s="1097"/>
      <c r="O22" s="292"/>
    </row>
    <row r="23" spans="1:15" x14ac:dyDescent="0.3">
      <c r="A23" s="1100"/>
      <c r="B23" s="1100"/>
      <c r="C23" s="1100"/>
      <c r="D23" s="1100"/>
      <c r="E23" s="1100"/>
      <c r="F23" s="1100"/>
      <c r="G23" s="1100"/>
      <c r="H23" s="1100"/>
      <c r="I23" s="1100"/>
      <c r="J23" s="1100"/>
      <c r="K23" s="1100"/>
      <c r="L23" s="1100"/>
      <c r="M23" s="1100"/>
      <c r="N23" s="1100"/>
    </row>
    <row r="24" spans="1:15" x14ac:dyDescent="0.3">
      <c r="A24" s="1100"/>
      <c r="B24" s="1100"/>
      <c r="C24" s="1100"/>
      <c r="D24" s="1100"/>
      <c r="E24" s="1100"/>
      <c r="F24" s="1100"/>
      <c r="G24" s="1100"/>
      <c r="H24" s="1100"/>
      <c r="I24" s="1100"/>
      <c r="J24" s="1100"/>
      <c r="K24" s="1100"/>
      <c r="L24" s="1100"/>
      <c r="M24" s="1100"/>
      <c r="N24" s="1100"/>
    </row>
    <row r="25" spans="1:15" x14ac:dyDescent="0.3">
      <c r="A25" s="1100"/>
      <c r="B25" s="1100"/>
      <c r="C25" s="1100"/>
      <c r="D25" s="1100"/>
      <c r="E25" s="1100"/>
      <c r="F25" s="1100"/>
      <c r="G25" s="1100"/>
      <c r="H25" s="1100"/>
      <c r="I25" s="1100"/>
      <c r="J25" s="1100"/>
      <c r="K25" s="1100"/>
      <c r="L25" s="1100"/>
      <c r="M25" s="1100"/>
      <c r="N25" s="1100"/>
    </row>
    <row r="26" spans="1:15" x14ac:dyDescent="0.3">
      <c r="A26" s="16"/>
      <c r="B26" s="1100"/>
      <c r="C26" s="1100"/>
      <c r="D26" s="1100"/>
      <c r="E26" s="1100"/>
      <c r="F26" s="1100"/>
      <c r="G26" s="1100"/>
      <c r="H26" s="1100"/>
      <c r="I26" s="1100"/>
      <c r="J26" s="1100"/>
      <c r="K26" s="1100"/>
      <c r="L26" s="1100"/>
      <c r="M26" s="1100"/>
      <c r="N26" s="1100"/>
    </row>
    <row r="27" spans="1:15" x14ac:dyDescent="0.3">
      <c r="A27" s="16"/>
      <c r="B27" s="1100"/>
      <c r="C27" s="1100"/>
      <c r="D27" s="1100"/>
      <c r="E27" s="1100"/>
      <c r="F27" s="1100"/>
      <c r="G27" s="1100"/>
      <c r="H27" s="1100"/>
      <c r="I27" s="1100"/>
      <c r="J27" s="1100"/>
      <c r="K27" s="1100"/>
      <c r="L27" s="1100"/>
      <c r="M27" s="1100"/>
      <c r="N27" s="1100"/>
    </row>
    <row r="28" spans="1:15" x14ac:dyDescent="0.3">
      <c r="A28" s="88"/>
      <c r="B28" s="1100"/>
      <c r="C28" s="1100"/>
      <c r="D28" s="1100"/>
      <c r="E28" s="1100"/>
      <c r="F28" s="1100"/>
      <c r="G28" s="1100"/>
      <c r="H28" s="1100"/>
      <c r="I28" s="1100"/>
      <c r="J28" s="1100"/>
      <c r="K28" s="1100"/>
      <c r="L28" s="1100"/>
      <c r="M28" s="1100"/>
      <c r="N28" s="1100"/>
    </row>
    <row r="29" spans="1:15" x14ac:dyDescent="0.3">
      <c r="A29" s="18"/>
      <c r="B29" s="1100"/>
      <c r="C29" s="1100"/>
      <c r="D29" s="1100"/>
      <c r="E29" s="1100"/>
      <c r="F29" s="1100"/>
      <c r="G29" s="1100"/>
      <c r="H29" s="1100"/>
      <c r="I29" s="1100"/>
      <c r="J29" s="1100"/>
      <c r="K29" s="1100"/>
      <c r="L29" s="1100"/>
      <c r="M29" s="1100"/>
      <c r="N29" s="1100"/>
    </row>
    <row r="30" spans="1:15" x14ac:dyDescent="0.3">
      <c r="A30" s="28"/>
      <c r="B30" s="1100"/>
      <c r="C30" s="1100"/>
      <c r="D30" s="1100"/>
      <c r="E30" s="1100"/>
      <c r="F30" s="1100"/>
      <c r="G30" s="1100"/>
      <c r="H30" s="1100"/>
      <c r="I30" s="1100"/>
      <c r="J30" s="1100"/>
      <c r="K30" s="1100"/>
      <c r="L30" s="1100"/>
      <c r="M30" s="1100"/>
      <c r="N30" s="1100"/>
    </row>
    <row r="31" spans="1:15" x14ac:dyDescent="0.3">
      <c r="A31" s="16"/>
      <c r="B31" s="1100"/>
      <c r="C31" s="1100"/>
      <c r="D31" s="1100"/>
      <c r="E31" s="1100"/>
      <c r="F31" s="1100"/>
      <c r="G31" s="1100"/>
      <c r="H31" s="1100"/>
      <c r="I31" s="1100"/>
      <c r="J31" s="1100"/>
      <c r="K31" s="1100"/>
      <c r="L31" s="1100"/>
      <c r="M31" s="1100"/>
      <c r="N31" s="1100"/>
    </row>
    <row r="32" spans="1:15" x14ac:dyDescent="0.3">
      <c r="A32" s="16"/>
      <c r="B32" s="1100"/>
      <c r="C32" s="1100"/>
      <c r="D32" s="1100"/>
      <c r="E32" s="1100"/>
      <c r="F32" s="1100"/>
      <c r="G32" s="1100"/>
      <c r="H32" s="1100"/>
      <c r="I32" s="1100"/>
      <c r="J32" s="1100"/>
      <c r="K32" s="1100"/>
      <c r="L32" s="1100"/>
      <c r="M32" s="1100"/>
      <c r="N32" s="1100"/>
    </row>
    <row r="33" spans="1:14" x14ac:dyDescent="0.3">
      <c r="A33" s="1100"/>
      <c r="B33" s="1100"/>
      <c r="C33" s="1100"/>
      <c r="D33" s="1100"/>
      <c r="E33" s="1100"/>
      <c r="F33" s="1100"/>
      <c r="G33" s="1100"/>
      <c r="H33" s="1100"/>
      <c r="I33" s="1100"/>
      <c r="J33" s="1100"/>
      <c r="K33" s="1100"/>
      <c r="L33" s="1100"/>
      <c r="M33" s="1100"/>
      <c r="N33" s="1100"/>
    </row>
    <row r="34" spans="1:14" x14ac:dyDescent="0.3">
      <c r="A34" s="1100"/>
      <c r="B34" s="1100"/>
      <c r="C34" s="1100"/>
      <c r="D34" s="1100"/>
      <c r="E34" s="1100"/>
      <c r="F34" s="1100"/>
      <c r="G34" s="1100"/>
      <c r="H34" s="1100"/>
      <c r="I34" s="1100"/>
      <c r="J34" s="1100"/>
      <c r="K34" s="1100"/>
      <c r="L34" s="1100"/>
      <c r="M34" s="1100"/>
      <c r="N34" s="1100"/>
    </row>
    <row r="35" spans="1:14" x14ac:dyDescent="0.3">
      <c r="A35" s="1100"/>
      <c r="B35" s="1100"/>
      <c r="C35" s="1100"/>
      <c r="D35" s="1100"/>
      <c r="E35" s="1100"/>
      <c r="F35" s="1100"/>
      <c r="G35" s="1100"/>
      <c r="H35" s="1100"/>
      <c r="I35" s="1100"/>
      <c r="J35" s="1100"/>
      <c r="K35" s="1100"/>
      <c r="L35" s="1100"/>
      <c r="M35" s="1100"/>
      <c r="N35" s="1100"/>
    </row>
    <row r="36" spans="1:14" x14ac:dyDescent="0.3">
      <c r="A36" s="1100"/>
      <c r="B36" s="1100"/>
      <c r="C36" s="1100"/>
      <c r="D36" s="1100"/>
      <c r="E36" s="1100"/>
      <c r="F36" s="1100"/>
      <c r="G36" s="1100"/>
      <c r="H36" s="1100"/>
      <c r="I36" s="1100"/>
      <c r="J36" s="1100"/>
      <c r="K36" s="1100"/>
      <c r="L36" s="1100"/>
      <c r="M36" s="1100"/>
      <c r="N36" s="1100"/>
    </row>
    <row r="37" spans="1:14" x14ac:dyDescent="0.3">
      <c r="A37" s="1100"/>
      <c r="B37" s="1100"/>
      <c r="C37" s="1100"/>
      <c r="D37" s="1100"/>
      <c r="E37" s="1100"/>
      <c r="F37" s="1100"/>
      <c r="G37" s="1100"/>
      <c r="H37" s="1100"/>
      <c r="I37" s="1100"/>
      <c r="J37" s="1100"/>
      <c r="K37" s="1100"/>
      <c r="L37" s="1100"/>
      <c r="M37" s="1100"/>
      <c r="N37" s="1100"/>
    </row>
    <row r="38" spans="1:14" x14ac:dyDescent="0.3">
      <c r="A38" s="1100"/>
      <c r="B38" s="1100"/>
      <c r="C38" s="1100"/>
      <c r="D38" s="1100"/>
      <c r="E38" s="1100"/>
      <c r="F38" s="1100"/>
      <c r="G38" s="1100"/>
      <c r="H38" s="1100"/>
      <c r="I38" s="1100"/>
      <c r="J38" s="1100"/>
      <c r="K38" s="1100"/>
      <c r="L38" s="1100"/>
      <c r="M38" s="1100"/>
      <c r="N38" s="1100"/>
    </row>
    <row r="39" spans="1:14" x14ac:dyDescent="0.3">
      <c r="A39" s="1100"/>
      <c r="B39" s="1100"/>
      <c r="C39" s="1100"/>
      <c r="D39" s="1100"/>
      <c r="E39" s="1100"/>
      <c r="F39" s="1100"/>
      <c r="G39" s="1100"/>
      <c r="H39" s="1100"/>
      <c r="I39" s="1100"/>
      <c r="J39" s="1100"/>
      <c r="K39" s="1100"/>
      <c r="L39" s="1100"/>
      <c r="M39" s="1100"/>
      <c r="N39" s="1100"/>
    </row>
    <row r="40" spans="1:14" x14ac:dyDescent="0.3">
      <c r="A40" s="1100"/>
      <c r="B40" s="1100"/>
      <c r="C40" s="1100"/>
      <c r="D40" s="1100"/>
      <c r="E40" s="1100"/>
      <c r="F40" s="1100"/>
      <c r="G40" s="1100"/>
      <c r="H40" s="1100"/>
      <c r="I40" s="1100"/>
      <c r="J40" s="1100"/>
      <c r="K40" s="1100"/>
      <c r="L40" s="1100"/>
      <c r="M40" s="1100"/>
      <c r="N40" s="1100"/>
    </row>
    <row r="41" spans="1:14" x14ac:dyDescent="0.3">
      <c r="A41" s="1100"/>
      <c r="B41" s="1100"/>
      <c r="C41" s="1100"/>
      <c r="D41" s="1100"/>
      <c r="E41" s="1100"/>
      <c r="F41" s="1100"/>
      <c r="G41" s="1100"/>
      <c r="H41" s="1100"/>
      <c r="I41" s="1100"/>
      <c r="J41" s="1100"/>
      <c r="K41" s="1100"/>
      <c r="L41" s="1100"/>
      <c r="M41" s="1100"/>
      <c r="N41" s="1100"/>
    </row>
    <row r="42" spans="1:14" x14ac:dyDescent="0.3">
      <c r="A42" s="1100"/>
      <c r="B42" s="1100"/>
      <c r="C42" s="1100"/>
      <c r="D42" s="1100"/>
      <c r="E42" s="1100"/>
      <c r="F42" s="1100"/>
      <c r="G42" s="1100"/>
      <c r="H42" s="1100"/>
      <c r="I42" s="1100"/>
      <c r="J42" s="1100"/>
      <c r="K42" s="1100"/>
      <c r="L42" s="1100"/>
      <c r="M42" s="1100"/>
      <c r="N42" s="1100"/>
    </row>
    <row r="43" spans="1:14" x14ac:dyDescent="0.3">
      <c r="A43" s="1100"/>
      <c r="B43" s="1100"/>
      <c r="C43" s="1100"/>
      <c r="D43" s="1100"/>
      <c r="E43" s="1100"/>
      <c r="F43" s="1100"/>
      <c r="G43" s="1100"/>
      <c r="H43" s="1100"/>
      <c r="I43" s="1100"/>
      <c r="J43" s="1100"/>
      <c r="K43" s="1100"/>
      <c r="L43" s="1100"/>
      <c r="M43" s="1100"/>
      <c r="N43" s="1100"/>
    </row>
    <row r="44" spans="1:14" x14ac:dyDescent="0.3">
      <c r="A44" s="1100"/>
      <c r="B44" s="1100"/>
      <c r="C44" s="1100"/>
      <c r="D44" s="1100"/>
      <c r="E44" s="1100"/>
      <c r="F44" s="1100"/>
      <c r="G44" s="1100"/>
      <c r="H44" s="1100"/>
      <c r="I44" s="1100"/>
      <c r="J44" s="1100"/>
      <c r="K44" s="1100"/>
      <c r="L44" s="1100"/>
      <c r="M44" s="1100"/>
      <c r="N44" s="1100"/>
    </row>
    <row r="45" spans="1:14" x14ac:dyDescent="0.3">
      <c r="A45" s="1100"/>
      <c r="B45" s="1100"/>
      <c r="C45" s="1100"/>
      <c r="D45" s="1100"/>
      <c r="E45" s="1100"/>
      <c r="F45" s="1100"/>
      <c r="G45" s="1100"/>
      <c r="H45" s="1100"/>
      <c r="I45" s="1100"/>
      <c r="J45" s="1100"/>
      <c r="K45" s="1100"/>
      <c r="L45" s="1100"/>
      <c r="M45" s="1100"/>
      <c r="N45" s="1100"/>
    </row>
    <row r="46" spans="1:14" x14ac:dyDescent="0.3">
      <c r="A46" s="1100"/>
      <c r="B46" s="1100"/>
      <c r="C46" s="1100"/>
      <c r="D46" s="1100"/>
      <c r="E46" s="1100"/>
      <c r="F46" s="1100"/>
      <c r="G46" s="1100"/>
      <c r="H46" s="1100"/>
      <c r="I46" s="1100"/>
      <c r="J46" s="1100"/>
      <c r="K46" s="1100"/>
      <c r="L46" s="1100"/>
      <c r="M46" s="1100"/>
      <c r="N46" s="1100"/>
    </row>
    <row r="47" spans="1:14" x14ac:dyDescent="0.3">
      <c r="A47" s="1100"/>
      <c r="B47" s="1100"/>
      <c r="C47" s="1100"/>
      <c r="D47" s="1100"/>
      <c r="E47" s="1100"/>
      <c r="F47" s="1100"/>
      <c r="G47" s="1100"/>
      <c r="H47" s="1100"/>
      <c r="I47" s="1100"/>
      <c r="J47" s="1100"/>
      <c r="K47" s="1100"/>
      <c r="L47" s="1100"/>
      <c r="M47" s="1100"/>
      <c r="N47" s="1100"/>
    </row>
    <row r="48" spans="1:14" x14ac:dyDescent="0.3">
      <c r="A48" s="1100"/>
      <c r="B48" s="1100"/>
      <c r="C48" s="1100"/>
      <c r="D48" s="1100"/>
      <c r="E48" s="1100"/>
      <c r="F48" s="1100"/>
      <c r="G48" s="1100"/>
      <c r="H48" s="1100"/>
      <c r="I48" s="1100"/>
      <c r="J48" s="1100"/>
      <c r="K48" s="1100"/>
      <c r="L48" s="1100"/>
      <c r="M48" s="1100"/>
      <c r="N48" s="1100"/>
    </row>
    <row r="49" spans="1:14" x14ac:dyDescent="0.3">
      <c r="A49" s="1100"/>
      <c r="B49" s="1100"/>
      <c r="C49" s="1100"/>
      <c r="D49" s="1100"/>
      <c r="E49" s="1100"/>
      <c r="F49" s="1100"/>
      <c r="G49" s="1100"/>
      <c r="H49" s="1100"/>
      <c r="I49" s="1100"/>
      <c r="J49" s="1100"/>
      <c r="K49" s="1100"/>
      <c r="L49" s="1100"/>
      <c r="M49" s="1100"/>
      <c r="N49" s="1100"/>
    </row>
    <row r="50" spans="1:14" x14ac:dyDescent="0.3">
      <c r="A50" s="1100"/>
      <c r="B50" s="1100"/>
      <c r="C50" s="1100"/>
      <c r="D50" s="1100"/>
      <c r="E50" s="1100"/>
      <c r="F50" s="1100"/>
      <c r="G50" s="1100"/>
      <c r="H50" s="1100"/>
      <c r="I50" s="1100"/>
      <c r="J50" s="1100"/>
      <c r="K50" s="1100"/>
      <c r="L50" s="1100"/>
      <c r="M50" s="1100"/>
      <c r="N50" s="1100"/>
    </row>
    <row r="51" spans="1:14" x14ac:dyDescent="0.3">
      <c r="A51" s="1100"/>
      <c r="B51" s="1100"/>
      <c r="C51" s="1100"/>
      <c r="D51" s="1100"/>
      <c r="E51" s="1100"/>
      <c r="F51" s="1100"/>
      <c r="G51" s="1100"/>
      <c r="H51" s="1100"/>
      <c r="I51" s="1100"/>
      <c r="J51" s="1100"/>
      <c r="K51" s="1100"/>
      <c r="L51" s="1100"/>
      <c r="M51" s="1100"/>
      <c r="N51" s="1100"/>
    </row>
    <row r="52" spans="1:14" x14ac:dyDescent="0.3">
      <c r="A52" s="1100"/>
      <c r="B52" s="1100"/>
      <c r="C52" s="1100"/>
      <c r="D52" s="1100"/>
      <c r="E52" s="1100"/>
      <c r="F52" s="1100"/>
      <c r="G52" s="1100"/>
      <c r="H52" s="1100"/>
      <c r="I52" s="1100"/>
      <c r="J52" s="1100"/>
      <c r="K52" s="1100"/>
      <c r="L52" s="1100"/>
      <c r="M52" s="1100"/>
      <c r="N52" s="1100"/>
    </row>
    <row r="53" spans="1:14" x14ac:dyDescent="0.3">
      <c r="A53" s="1100"/>
      <c r="B53" s="1100"/>
      <c r="C53" s="1100"/>
      <c r="D53" s="1100"/>
      <c r="E53" s="1100"/>
      <c r="F53" s="1100"/>
      <c r="G53" s="1100"/>
      <c r="H53" s="1100"/>
      <c r="I53" s="1100"/>
      <c r="J53" s="1100"/>
      <c r="K53" s="1100"/>
      <c r="L53" s="1100"/>
      <c r="M53" s="1100"/>
      <c r="N53" s="1100"/>
    </row>
    <row r="54" spans="1:14" x14ac:dyDescent="0.3">
      <c r="A54" s="1100"/>
      <c r="B54" s="1100"/>
      <c r="C54" s="1100"/>
      <c r="D54" s="1100"/>
      <c r="E54" s="1100"/>
      <c r="F54" s="1100"/>
      <c r="G54" s="1100"/>
      <c r="H54" s="1100"/>
      <c r="I54" s="1100"/>
      <c r="J54" s="1100"/>
      <c r="K54" s="1100"/>
      <c r="L54" s="1100"/>
      <c r="M54" s="1100"/>
      <c r="N54" s="1100"/>
    </row>
    <row r="55" spans="1:14" x14ac:dyDescent="0.3">
      <c r="A55" s="1100"/>
      <c r="B55" s="1100"/>
      <c r="C55" s="1100"/>
      <c r="D55" s="1100"/>
      <c r="E55" s="1100"/>
      <c r="F55" s="1100"/>
      <c r="G55" s="1100"/>
      <c r="H55" s="1100"/>
      <c r="I55" s="1100"/>
      <c r="J55" s="1100"/>
      <c r="K55" s="1100"/>
      <c r="L55" s="1100"/>
      <c r="M55" s="1100"/>
      <c r="N55" s="1100"/>
    </row>
    <row r="56" spans="1:14" x14ac:dyDescent="0.3">
      <c r="A56" s="1100"/>
      <c r="B56" s="1100"/>
      <c r="C56" s="1100"/>
      <c r="D56" s="1100"/>
      <c r="E56" s="1100"/>
      <c r="F56" s="1100"/>
      <c r="G56" s="1100"/>
      <c r="H56" s="1100"/>
      <c r="I56" s="1100"/>
      <c r="J56" s="1100"/>
      <c r="K56" s="1100"/>
      <c r="L56" s="1100"/>
      <c r="M56" s="1100"/>
      <c r="N56" s="1100"/>
    </row>
    <row r="57" spans="1:14" x14ac:dyDescent="0.3">
      <c r="A57" s="1100"/>
      <c r="B57" s="1100"/>
      <c r="C57" s="1100"/>
      <c r="D57" s="1100"/>
      <c r="E57" s="1100"/>
      <c r="F57" s="1100"/>
      <c r="G57" s="1100"/>
      <c r="H57" s="1100"/>
      <c r="I57" s="1100"/>
      <c r="J57" s="1100"/>
      <c r="K57" s="1100"/>
      <c r="L57" s="1100"/>
      <c r="M57" s="1100"/>
      <c r="N57" s="1100"/>
    </row>
    <row r="58" spans="1:14" x14ac:dyDescent="0.3">
      <c r="A58" s="1100"/>
      <c r="B58" s="1100"/>
      <c r="C58" s="1100"/>
      <c r="D58" s="1100"/>
      <c r="E58" s="1100"/>
      <c r="F58" s="1100"/>
      <c r="G58" s="1100"/>
      <c r="H58" s="1100"/>
      <c r="I58" s="1100"/>
      <c r="J58" s="1100"/>
      <c r="K58" s="1100"/>
      <c r="L58" s="1100"/>
      <c r="M58" s="1100"/>
      <c r="N58" s="1100"/>
    </row>
    <row r="59" spans="1:14" x14ac:dyDescent="0.3">
      <c r="A59" s="1100"/>
      <c r="B59" s="1100"/>
      <c r="C59" s="1100"/>
      <c r="D59" s="1100"/>
      <c r="E59" s="1100"/>
      <c r="F59" s="1100"/>
      <c r="G59" s="1100"/>
      <c r="H59" s="1100"/>
      <c r="I59" s="1100"/>
      <c r="J59" s="1100"/>
      <c r="K59" s="1100"/>
      <c r="L59" s="1100"/>
      <c r="M59" s="1100"/>
      <c r="N59" s="1100"/>
    </row>
    <row r="60" spans="1:14" x14ac:dyDescent="0.3">
      <c r="A60" s="1100"/>
      <c r="B60" s="1100"/>
      <c r="C60" s="1100"/>
      <c r="D60" s="1100"/>
      <c r="E60" s="1100"/>
      <c r="F60" s="1100"/>
      <c r="G60" s="1100"/>
      <c r="H60" s="1100"/>
      <c r="I60" s="1100"/>
      <c r="J60" s="1100"/>
      <c r="K60" s="1100"/>
      <c r="L60" s="1100"/>
      <c r="M60" s="1100"/>
      <c r="N60" s="1100"/>
    </row>
    <row r="61" spans="1:14" x14ac:dyDescent="0.3">
      <c r="A61" s="1100"/>
      <c r="B61" s="1100"/>
      <c r="C61" s="1100"/>
      <c r="D61" s="1100"/>
      <c r="E61" s="1100"/>
      <c r="F61" s="1100"/>
      <c r="G61" s="1100"/>
      <c r="H61" s="1100"/>
      <c r="I61" s="1100"/>
      <c r="J61" s="1100"/>
      <c r="K61" s="1100"/>
      <c r="L61" s="1100"/>
      <c r="M61" s="1100"/>
      <c r="N61" s="1100"/>
    </row>
    <row r="62" spans="1:14" x14ac:dyDescent="0.3">
      <c r="A62" s="1100"/>
      <c r="B62" s="1100"/>
      <c r="C62" s="1100"/>
      <c r="D62" s="1100"/>
      <c r="E62" s="1100"/>
      <c r="F62" s="1100"/>
      <c r="G62" s="1100"/>
      <c r="H62" s="1100"/>
      <c r="I62" s="1100"/>
      <c r="J62" s="1100"/>
      <c r="K62" s="1100"/>
      <c r="L62" s="1100"/>
      <c r="M62" s="1100"/>
      <c r="N62" s="1100"/>
    </row>
    <row r="63" spans="1:14" x14ac:dyDescent="0.3">
      <c r="A63" s="1100"/>
      <c r="B63" s="1100"/>
      <c r="C63" s="1100"/>
      <c r="D63" s="1100"/>
      <c r="E63" s="1100"/>
      <c r="F63" s="1100"/>
      <c r="G63" s="1100"/>
      <c r="H63" s="1100"/>
      <c r="I63" s="1100"/>
      <c r="J63" s="1100"/>
      <c r="K63" s="1100"/>
      <c r="L63" s="1100"/>
      <c r="M63" s="1100"/>
      <c r="N63" s="1100"/>
    </row>
    <row r="64" spans="1:14" x14ac:dyDescent="0.3">
      <c r="A64" s="1100"/>
      <c r="B64" s="1100"/>
      <c r="C64" s="1100"/>
      <c r="D64" s="1100"/>
      <c r="E64" s="1100"/>
      <c r="F64" s="1100"/>
      <c r="G64" s="1100"/>
      <c r="H64" s="1100"/>
      <c r="I64" s="1100"/>
      <c r="J64" s="1100"/>
      <c r="K64" s="1100"/>
      <c r="L64" s="1100"/>
      <c r="M64" s="1100"/>
      <c r="N64" s="1100"/>
    </row>
    <row r="65" spans="1:14" x14ac:dyDescent="0.3">
      <c r="A65" s="1100"/>
      <c r="B65" s="1100"/>
      <c r="C65" s="1100"/>
      <c r="D65" s="1100"/>
      <c r="E65" s="1100"/>
      <c r="F65" s="1100"/>
      <c r="G65" s="1100"/>
      <c r="H65" s="1100"/>
      <c r="I65" s="1100"/>
      <c r="J65" s="1100"/>
      <c r="K65" s="1100"/>
      <c r="L65" s="1100"/>
      <c r="M65" s="1100"/>
      <c r="N65" s="1100"/>
    </row>
    <row r="66" spans="1:14" x14ac:dyDescent="0.3">
      <c r="A66" s="1100"/>
      <c r="B66" s="1100"/>
      <c r="C66" s="1100"/>
      <c r="D66" s="1100"/>
      <c r="E66" s="1100"/>
      <c r="F66" s="1100"/>
      <c r="G66" s="1100"/>
      <c r="H66" s="1100"/>
      <c r="I66" s="1100"/>
      <c r="J66" s="1100"/>
      <c r="K66" s="1100"/>
      <c r="L66" s="1100"/>
      <c r="M66" s="1100"/>
      <c r="N66" s="1100"/>
    </row>
    <row r="67" spans="1:14" x14ac:dyDescent="0.3">
      <c r="A67" s="1100"/>
      <c r="B67" s="1100"/>
      <c r="C67" s="1100"/>
      <c r="D67" s="1100"/>
      <c r="E67" s="1100"/>
      <c r="F67" s="1100"/>
      <c r="G67" s="1100"/>
      <c r="H67" s="1100"/>
      <c r="I67" s="1100"/>
      <c r="J67" s="1100"/>
      <c r="K67" s="1100"/>
      <c r="L67" s="1100"/>
      <c r="M67" s="1100"/>
      <c r="N67" s="1100"/>
    </row>
    <row r="68" spans="1:14" x14ac:dyDescent="0.3">
      <c r="A68" s="1100"/>
      <c r="B68" s="1100"/>
      <c r="C68" s="1100"/>
      <c r="D68" s="1100"/>
      <c r="E68" s="1100"/>
      <c r="F68" s="1100"/>
      <c r="G68" s="1100"/>
      <c r="H68" s="1100"/>
      <c r="I68" s="1100"/>
      <c r="J68" s="1100"/>
      <c r="K68" s="1100"/>
      <c r="L68" s="1100"/>
      <c r="M68" s="1100"/>
      <c r="N68" s="1100"/>
    </row>
    <row r="69" spans="1:14" x14ac:dyDescent="0.3">
      <c r="A69" s="1100"/>
      <c r="B69" s="1100"/>
      <c r="C69" s="1100"/>
      <c r="D69" s="1100"/>
      <c r="E69" s="1100"/>
      <c r="F69" s="1100"/>
      <c r="G69" s="1100"/>
      <c r="H69" s="1100"/>
      <c r="I69" s="1100"/>
      <c r="J69" s="1100"/>
      <c r="K69" s="1100"/>
      <c r="L69" s="1100"/>
      <c r="M69" s="1100"/>
      <c r="N69" s="1100"/>
    </row>
    <row r="70" spans="1:14" x14ac:dyDescent="0.3">
      <c r="A70" s="1100"/>
      <c r="B70" s="1100"/>
      <c r="C70" s="1100"/>
      <c r="D70" s="1100"/>
      <c r="E70" s="1100"/>
      <c r="F70" s="1100"/>
      <c r="G70" s="1100"/>
      <c r="H70" s="1100"/>
      <c r="I70" s="1100"/>
      <c r="J70" s="1100"/>
      <c r="K70" s="1100"/>
      <c r="L70" s="1100"/>
      <c r="M70" s="1100"/>
      <c r="N70" s="1100"/>
    </row>
    <row r="71" spans="1:14" x14ac:dyDescent="0.3">
      <c r="A71" s="1100"/>
      <c r="B71" s="1100"/>
      <c r="C71" s="1100"/>
      <c r="D71" s="1100"/>
      <c r="E71" s="1100"/>
      <c r="F71" s="1100"/>
      <c r="G71" s="1100"/>
      <c r="H71" s="1100"/>
      <c r="I71" s="1100"/>
      <c r="J71" s="1100"/>
      <c r="K71" s="1100"/>
      <c r="L71" s="1100"/>
      <c r="M71" s="1100"/>
      <c r="N71" s="1100"/>
    </row>
    <row r="72" spans="1:14" x14ac:dyDescent="0.3">
      <c r="A72" s="1100"/>
      <c r="B72" s="1100"/>
      <c r="C72" s="1100"/>
      <c r="D72" s="1100"/>
      <c r="E72" s="1100"/>
      <c r="F72" s="1100"/>
      <c r="G72" s="1100"/>
      <c r="H72" s="1100"/>
      <c r="I72" s="1100"/>
      <c r="J72" s="1100"/>
      <c r="K72" s="1100"/>
      <c r="L72" s="1100"/>
      <c r="M72" s="1100"/>
      <c r="N72" s="1100"/>
    </row>
    <row r="73" spans="1:14" x14ac:dyDescent="0.3">
      <c r="A73" s="1100"/>
      <c r="B73" s="1100"/>
      <c r="C73" s="1100"/>
      <c r="D73" s="1100"/>
      <c r="E73" s="1100"/>
      <c r="F73" s="1100"/>
      <c r="G73" s="1100"/>
      <c r="H73" s="1100"/>
      <c r="I73" s="1100"/>
      <c r="J73" s="1100"/>
      <c r="K73" s="1100"/>
      <c r="L73" s="1100"/>
      <c r="M73" s="1100"/>
      <c r="N73" s="1100"/>
    </row>
    <row r="74" spans="1:14" x14ac:dyDescent="0.3">
      <c r="A74" s="1100"/>
      <c r="B74" s="1100"/>
      <c r="C74" s="1100"/>
      <c r="D74" s="1100"/>
      <c r="E74" s="1100"/>
      <c r="F74" s="1100"/>
      <c r="G74" s="1100"/>
      <c r="H74" s="1100"/>
      <c r="I74" s="1100"/>
      <c r="J74" s="1100"/>
      <c r="K74" s="1100"/>
      <c r="L74" s="1100"/>
      <c r="M74" s="1100"/>
      <c r="N74" s="1100"/>
    </row>
    <row r="75" spans="1:14" x14ac:dyDescent="0.3">
      <c r="A75" s="1100"/>
      <c r="B75" s="1100"/>
      <c r="C75" s="1100"/>
      <c r="D75" s="1100"/>
      <c r="E75" s="1100"/>
      <c r="F75" s="1100"/>
      <c r="G75" s="1100"/>
      <c r="H75" s="1100"/>
      <c r="I75" s="1100"/>
      <c r="J75" s="1100"/>
      <c r="K75" s="1100"/>
      <c r="L75" s="1100"/>
      <c r="M75" s="1100"/>
      <c r="N75" s="1100"/>
    </row>
    <row r="76" spans="1:14" x14ac:dyDescent="0.3">
      <c r="A76" s="1100"/>
      <c r="B76" s="1100"/>
      <c r="C76" s="1100"/>
      <c r="D76" s="1100"/>
      <c r="E76" s="1100"/>
      <c r="F76" s="1100"/>
      <c r="G76" s="1100"/>
      <c r="H76" s="1100"/>
      <c r="I76" s="1100"/>
      <c r="J76" s="1100"/>
      <c r="K76" s="1100"/>
      <c r="L76" s="1100"/>
      <c r="M76" s="1100"/>
      <c r="N76" s="1100"/>
    </row>
    <row r="77" spans="1:14" x14ac:dyDescent="0.3">
      <c r="A77" s="1100"/>
      <c r="B77" s="1100"/>
      <c r="C77" s="1100"/>
      <c r="D77" s="1100"/>
      <c r="E77" s="1100"/>
      <c r="F77" s="1100"/>
      <c r="G77" s="1100"/>
      <c r="H77" s="1100"/>
      <c r="I77" s="1100"/>
      <c r="J77" s="1100"/>
      <c r="K77" s="1100"/>
      <c r="L77" s="1100"/>
      <c r="M77" s="1100"/>
      <c r="N77" s="1100"/>
    </row>
    <row r="78" spans="1:14" x14ac:dyDescent="0.3">
      <c r="A78" s="1100"/>
      <c r="B78" s="1100"/>
      <c r="C78" s="1100"/>
      <c r="D78" s="1100"/>
      <c r="E78" s="1100"/>
      <c r="F78" s="1100"/>
      <c r="G78" s="1100"/>
      <c r="H78" s="1100"/>
      <c r="I78" s="1100"/>
      <c r="J78" s="1100"/>
      <c r="K78" s="1100"/>
      <c r="L78" s="1100"/>
      <c r="M78" s="1100"/>
      <c r="N78" s="1100"/>
    </row>
    <row r="79" spans="1:14" x14ac:dyDescent="0.3">
      <c r="A79" s="1100"/>
      <c r="B79" s="1100"/>
      <c r="C79" s="1100"/>
      <c r="D79" s="1100"/>
      <c r="E79" s="1100"/>
      <c r="F79" s="1100"/>
      <c r="G79" s="1100"/>
      <c r="H79" s="1100"/>
      <c r="I79" s="1100"/>
      <c r="J79" s="1100"/>
      <c r="K79" s="1100"/>
      <c r="L79" s="1100"/>
      <c r="M79" s="1100"/>
      <c r="N79" s="1100"/>
    </row>
    <row r="80" spans="1:14" x14ac:dyDescent="0.3">
      <c r="A80" s="1100"/>
      <c r="B80" s="1100"/>
      <c r="C80" s="1100"/>
      <c r="D80" s="1100"/>
      <c r="E80" s="1100"/>
      <c r="F80" s="1100"/>
      <c r="G80" s="1100"/>
      <c r="H80" s="1100"/>
      <c r="I80" s="1100"/>
      <c r="J80" s="1100"/>
      <c r="K80" s="1100"/>
      <c r="L80" s="1100"/>
      <c r="M80" s="1100"/>
      <c r="N80" s="1100"/>
    </row>
    <row r="81" spans="1:14" x14ac:dyDescent="0.3">
      <c r="A81" s="1100"/>
      <c r="B81" s="1100"/>
      <c r="C81" s="1100"/>
      <c r="D81" s="1100"/>
      <c r="E81" s="1100"/>
      <c r="F81" s="1100"/>
      <c r="G81" s="1100"/>
      <c r="H81" s="1100"/>
      <c r="I81" s="1100"/>
      <c r="J81" s="1100"/>
      <c r="K81" s="1100"/>
      <c r="L81" s="1100"/>
      <c r="M81" s="1100"/>
      <c r="N81" s="1100"/>
    </row>
    <row r="82" spans="1:14" x14ac:dyDescent="0.3">
      <c r="A82" s="1100"/>
      <c r="B82" s="1100"/>
      <c r="C82" s="1100"/>
      <c r="D82" s="1100"/>
      <c r="E82" s="1100"/>
      <c r="F82" s="1100"/>
      <c r="G82" s="1100"/>
      <c r="H82" s="1100"/>
      <c r="I82" s="1100"/>
      <c r="J82" s="1100"/>
      <c r="K82" s="1100"/>
      <c r="L82" s="1100"/>
      <c r="M82" s="1100"/>
      <c r="N82" s="1100"/>
    </row>
    <row r="83" spans="1:14" x14ac:dyDescent="0.3">
      <c r="A83" s="1100"/>
      <c r="B83" s="1100"/>
      <c r="C83" s="1100"/>
      <c r="D83" s="1100"/>
      <c r="E83" s="1100"/>
      <c r="F83" s="1100"/>
      <c r="G83" s="1100"/>
      <c r="H83" s="1100"/>
      <c r="I83" s="1100"/>
      <c r="J83" s="1100"/>
      <c r="K83" s="1100"/>
      <c r="L83" s="1100"/>
      <c r="M83" s="1100"/>
      <c r="N83" s="1100"/>
    </row>
    <row r="84" spans="1:14" x14ac:dyDescent="0.3">
      <c r="A84" s="1100"/>
      <c r="B84" s="1100"/>
      <c r="C84" s="1100"/>
      <c r="D84" s="1100"/>
      <c r="E84" s="1100"/>
      <c r="F84" s="1100"/>
      <c r="G84" s="1100"/>
      <c r="H84" s="1100"/>
      <c r="I84" s="1100"/>
      <c r="J84" s="1100"/>
      <c r="K84" s="1100"/>
      <c r="L84" s="1100"/>
      <c r="M84" s="1100"/>
      <c r="N84" s="1100"/>
    </row>
    <row r="85" spans="1:14" x14ac:dyDescent="0.3">
      <c r="A85" s="1100"/>
      <c r="B85" s="1100"/>
      <c r="C85" s="1100"/>
      <c r="D85" s="1100"/>
      <c r="E85" s="1100"/>
      <c r="F85" s="1100"/>
      <c r="G85" s="1100"/>
      <c r="H85" s="1100"/>
      <c r="I85" s="1100"/>
      <c r="J85" s="1100"/>
      <c r="K85" s="1100"/>
      <c r="L85" s="1100"/>
      <c r="M85" s="1100"/>
      <c r="N85" s="1100"/>
    </row>
    <row r="86" spans="1:14" x14ac:dyDescent="0.3">
      <c r="A86" s="1100"/>
      <c r="B86" s="1100"/>
      <c r="C86" s="1100"/>
      <c r="D86" s="1100"/>
      <c r="E86" s="1100"/>
      <c r="F86" s="1100"/>
      <c r="G86" s="1100"/>
      <c r="H86" s="1100"/>
      <c r="I86" s="1100"/>
      <c r="J86" s="1100"/>
      <c r="K86" s="1100"/>
      <c r="L86" s="1100"/>
      <c r="M86" s="1100"/>
      <c r="N86" s="1100"/>
    </row>
    <row r="87" spans="1:14" x14ac:dyDescent="0.3">
      <c r="A87" s="1100"/>
      <c r="B87" s="1100"/>
      <c r="C87" s="1100"/>
      <c r="D87" s="1100"/>
      <c r="E87" s="1100"/>
      <c r="F87" s="1100"/>
      <c r="G87" s="1100"/>
      <c r="H87" s="1100"/>
      <c r="I87" s="1100"/>
      <c r="J87" s="1100"/>
      <c r="K87" s="1100"/>
      <c r="L87" s="1100"/>
      <c r="M87" s="1100"/>
      <c r="N87" s="1100"/>
    </row>
    <row r="88" spans="1:14" x14ac:dyDescent="0.3">
      <c r="A88" s="1100"/>
      <c r="B88" s="1100"/>
      <c r="C88" s="1100"/>
      <c r="D88" s="1100"/>
      <c r="E88" s="1100"/>
      <c r="F88" s="1100"/>
      <c r="G88" s="1100"/>
      <c r="H88" s="1100"/>
      <c r="I88" s="1100"/>
      <c r="J88" s="1100"/>
      <c r="K88" s="1100"/>
      <c r="L88" s="1100"/>
      <c r="M88" s="1100"/>
      <c r="N88" s="1100"/>
    </row>
    <row r="89" spans="1:14" x14ac:dyDescent="0.3">
      <c r="A89" s="1100"/>
      <c r="B89" s="1100"/>
      <c r="C89" s="1100"/>
      <c r="D89" s="1100"/>
      <c r="E89" s="1100"/>
      <c r="F89" s="1100"/>
      <c r="G89" s="1100"/>
      <c r="H89" s="1100"/>
      <c r="I89" s="1100"/>
      <c r="J89" s="1100"/>
      <c r="K89" s="1100"/>
      <c r="L89" s="1100"/>
      <c r="M89" s="1100"/>
      <c r="N89" s="1100"/>
    </row>
    <row r="90" spans="1:14" x14ac:dyDescent="0.3">
      <c r="A90" s="1100"/>
      <c r="B90" s="1100"/>
      <c r="C90" s="1100"/>
      <c r="D90" s="1100"/>
      <c r="E90" s="1100"/>
      <c r="F90" s="1100"/>
      <c r="G90" s="1100"/>
      <c r="H90" s="1100"/>
      <c r="I90" s="1100"/>
      <c r="J90" s="1100"/>
      <c r="K90" s="1100"/>
      <c r="L90" s="1100"/>
      <c r="M90" s="1100"/>
      <c r="N90" s="1100"/>
    </row>
    <row r="91" spans="1:14" x14ac:dyDescent="0.3">
      <c r="A91" s="1100"/>
      <c r="B91" s="1100"/>
      <c r="C91" s="1100"/>
      <c r="D91" s="1100"/>
      <c r="E91" s="1100"/>
      <c r="F91" s="1100"/>
      <c r="G91" s="1100"/>
      <c r="H91" s="1100"/>
      <c r="I91" s="1100"/>
      <c r="J91" s="1100"/>
      <c r="K91" s="1100"/>
      <c r="L91" s="1100"/>
      <c r="M91" s="1100"/>
      <c r="N91" s="1100"/>
    </row>
    <row r="92" spans="1:14" x14ac:dyDescent="0.3">
      <c r="A92" s="1100"/>
      <c r="B92" s="1100"/>
      <c r="C92" s="1100"/>
      <c r="D92" s="1100"/>
      <c r="E92" s="1100"/>
      <c r="F92" s="1100"/>
      <c r="G92" s="1100"/>
      <c r="H92" s="1100"/>
      <c r="I92" s="1100"/>
      <c r="J92" s="1100"/>
      <c r="K92" s="1100"/>
      <c r="L92" s="1100"/>
      <c r="M92" s="1100"/>
      <c r="N92" s="1100"/>
    </row>
    <row r="93" spans="1:14" x14ac:dyDescent="0.3">
      <c r="A93" s="1100"/>
      <c r="B93" s="1100"/>
      <c r="C93" s="1100"/>
      <c r="D93" s="1100"/>
      <c r="E93" s="1100"/>
      <c r="F93" s="1100"/>
      <c r="G93" s="1100"/>
      <c r="H93" s="1100"/>
      <c r="I93" s="1100"/>
      <c r="J93" s="1100"/>
      <c r="K93" s="1100"/>
      <c r="L93" s="1100"/>
      <c r="M93" s="1100"/>
      <c r="N93" s="1100"/>
    </row>
    <row r="94" spans="1:14" x14ac:dyDescent="0.3">
      <c r="A94" s="1100"/>
      <c r="B94" s="1100"/>
      <c r="C94" s="1100"/>
      <c r="D94" s="1100"/>
      <c r="E94" s="1100"/>
      <c r="F94" s="1100"/>
      <c r="G94" s="1100"/>
      <c r="H94" s="1100"/>
      <c r="I94" s="1100"/>
      <c r="J94" s="1100"/>
      <c r="K94" s="1100"/>
      <c r="L94" s="1100"/>
      <c r="M94" s="1100"/>
      <c r="N94" s="1100"/>
    </row>
    <row r="95" spans="1:14" x14ac:dyDescent="0.3">
      <c r="A95" s="1100"/>
      <c r="B95" s="1100"/>
      <c r="C95" s="1100"/>
      <c r="D95" s="1100"/>
      <c r="E95" s="1100"/>
      <c r="F95" s="1100"/>
      <c r="G95" s="1100"/>
      <c r="H95" s="1100"/>
      <c r="I95" s="1100"/>
      <c r="J95" s="1100"/>
      <c r="K95" s="1100"/>
      <c r="L95" s="1100"/>
      <c r="M95" s="1100"/>
      <c r="N95" s="1100"/>
    </row>
    <row r="96" spans="1:14" x14ac:dyDescent="0.3">
      <c r="A96" s="1100"/>
      <c r="B96" s="1100"/>
      <c r="C96" s="1100"/>
      <c r="D96" s="1100"/>
      <c r="E96" s="1100"/>
      <c r="F96" s="1100"/>
      <c r="G96" s="1100"/>
      <c r="H96" s="1100"/>
      <c r="I96" s="1100"/>
      <c r="J96" s="1100"/>
      <c r="K96" s="1100"/>
      <c r="L96" s="1100"/>
      <c r="M96" s="1100"/>
      <c r="N96" s="1100"/>
    </row>
    <row r="97" spans="1:14" x14ac:dyDescent="0.3">
      <c r="A97" s="1100"/>
      <c r="B97" s="1100"/>
      <c r="C97" s="1100"/>
      <c r="D97" s="1100"/>
      <c r="E97" s="1100"/>
      <c r="F97" s="1100"/>
      <c r="G97" s="1100"/>
      <c r="H97" s="1100"/>
      <c r="I97" s="1100"/>
      <c r="J97" s="1100"/>
      <c r="K97" s="1100"/>
      <c r="L97" s="1100"/>
      <c r="M97" s="1100"/>
      <c r="N97" s="1100"/>
    </row>
    <row r="98" spans="1:14" x14ac:dyDescent="0.3">
      <c r="A98" s="1100"/>
      <c r="B98" s="1100"/>
      <c r="C98" s="1100"/>
      <c r="D98" s="1100"/>
      <c r="E98" s="1100"/>
      <c r="F98" s="1100"/>
      <c r="G98" s="1100"/>
      <c r="H98" s="1100"/>
      <c r="I98" s="1100"/>
      <c r="J98" s="1100"/>
      <c r="K98" s="1100"/>
      <c r="L98" s="1100"/>
      <c r="M98" s="1100"/>
      <c r="N98" s="1100"/>
    </row>
    <row r="99" spans="1:14" x14ac:dyDescent="0.3">
      <c r="A99" s="1100"/>
      <c r="B99" s="1100"/>
      <c r="C99" s="1100"/>
      <c r="D99" s="1100"/>
      <c r="E99" s="1100"/>
      <c r="F99" s="1100"/>
      <c r="G99" s="1100"/>
      <c r="H99" s="1100"/>
      <c r="I99" s="1100"/>
      <c r="J99" s="1100"/>
      <c r="K99" s="1100"/>
      <c r="L99" s="1100"/>
      <c r="M99" s="1100"/>
      <c r="N99" s="1100"/>
    </row>
    <row r="100" spans="1:14" x14ac:dyDescent="0.3">
      <c r="A100" s="1100"/>
      <c r="B100" s="1100"/>
      <c r="C100" s="1100"/>
      <c r="D100" s="1100"/>
      <c r="E100" s="1100"/>
      <c r="F100" s="1100"/>
      <c r="G100" s="1100"/>
      <c r="H100" s="1100"/>
      <c r="I100" s="1100"/>
      <c r="J100" s="1100"/>
      <c r="K100" s="1100"/>
      <c r="L100" s="1100"/>
      <c r="M100" s="1100"/>
      <c r="N100" s="1100"/>
    </row>
    <row r="101" spans="1:14" x14ac:dyDescent="0.3">
      <c r="A101" s="1100"/>
      <c r="B101" s="1100"/>
      <c r="C101" s="1100"/>
      <c r="D101" s="1100"/>
      <c r="E101" s="1100"/>
      <c r="F101" s="1100"/>
      <c r="G101" s="1100"/>
      <c r="H101" s="1100"/>
      <c r="I101" s="1100"/>
      <c r="J101" s="1100"/>
      <c r="K101" s="1100"/>
      <c r="L101" s="1100"/>
      <c r="M101" s="1100"/>
      <c r="N101" s="1100"/>
    </row>
    <row r="102" spans="1:14" x14ac:dyDescent="0.3">
      <c r="A102" s="1100"/>
      <c r="B102" s="1100"/>
      <c r="C102" s="1100"/>
      <c r="D102" s="1100"/>
      <c r="E102" s="1100"/>
      <c r="F102" s="1100"/>
      <c r="G102" s="1100"/>
      <c r="H102" s="1100"/>
      <c r="I102" s="1100"/>
      <c r="J102" s="1100"/>
      <c r="K102" s="1100"/>
      <c r="L102" s="1100"/>
      <c r="M102" s="1100"/>
      <c r="N102" s="1100"/>
    </row>
    <row r="103" spans="1:14" x14ac:dyDescent="0.3">
      <c r="A103" s="1100"/>
      <c r="B103" s="1100"/>
      <c r="C103" s="1100"/>
      <c r="D103" s="1100"/>
      <c r="E103" s="1100"/>
      <c r="F103" s="1100"/>
      <c r="G103" s="1100"/>
      <c r="H103" s="1100"/>
      <c r="I103" s="1100"/>
      <c r="J103" s="1100"/>
      <c r="K103" s="1100"/>
      <c r="L103" s="1100"/>
      <c r="M103" s="1100"/>
      <c r="N103" s="1100"/>
    </row>
    <row r="104" spans="1:14" x14ac:dyDescent="0.3">
      <c r="A104" s="1100"/>
      <c r="B104" s="1100"/>
      <c r="C104" s="1100"/>
      <c r="D104" s="1100"/>
      <c r="E104" s="1100"/>
      <c r="F104" s="1100"/>
      <c r="G104" s="1100"/>
      <c r="H104" s="1100"/>
      <c r="I104" s="1100"/>
      <c r="J104" s="1100"/>
      <c r="K104" s="1100"/>
      <c r="L104" s="1100"/>
      <c r="M104" s="1100"/>
      <c r="N104" s="1100"/>
    </row>
    <row r="105" spans="1:14" x14ac:dyDescent="0.3">
      <c r="A105" s="1100"/>
      <c r="B105" s="1100"/>
      <c r="C105" s="1100"/>
      <c r="D105" s="1100"/>
      <c r="E105" s="1100"/>
      <c r="F105" s="1100"/>
      <c r="G105" s="1100"/>
      <c r="H105" s="1100"/>
      <c r="I105" s="1100"/>
      <c r="J105" s="1100"/>
      <c r="K105" s="1100"/>
      <c r="L105" s="1100"/>
      <c r="M105" s="1100"/>
      <c r="N105" s="1100"/>
    </row>
    <row r="106" spans="1:14" x14ac:dyDescent="0.3">
      <c r="A106" s="1100"/>
      <c r="B106" s="1100"/>
      <c r="C106" s="1100"/>
      <c r="D106" s="1100"/>
      <c r="E106" s="1100"/>
      <c r="F106" s="1100"/>
      <c r="G106" s="1100"/>
      <c r="H106" s="1100"/>
      <c r="I106" s="1100"/>
      <c r="J106" s="1100"/>
      <c r="K106" s="1100"/>
      <c r="L106" s="1100"/>
      <c r="M106" s="1100"/>
      <c r="N106" s="1100"/>
    </row>
    <row r="107" spans="1:14" x14ac:dyDescent="0.3">
      <c r="A107" s="1100"/>
      <c r="B107" s="1100"/>
      <c r="C107" s="1100"/>
      <c r="D107" s="1100"/>
      <c r="E107" s="1100"/>
      <c r="F107" s="1100"/>
      <c r="G107" s="1100"/>
      <c r="H107" s="1100"/>
      <c r="I107" s="1100"/>
      <c r="J107" s="1100"/>
      <c r="K107" s="1100"/>
      <c r="L107" s="1100"/>
      <c r="M107" s="1100"/>
      <c r="N107" s="1100"/>
    </row>
    <row r="108" spans="1:14" x14ac:dyDescent="0.3">
      <c r="A108" s="1100"/>
      <c r="B108" s="1100"/>
      <c r="C108" s="1100"/>
      <c r="D108" s="1100"/>
      <c r="E108" s="1100"/>
      <c r="F108" s="1100"/>
      <c r="G108" s="1100"/>
      <c r="H108" s="1100"/>
      <c r="I108" s="1100"/>
      <c r="J108" s="1100"/>
      <c r="K108" s="1100"/>
      <c r="L108" s="1100"/>
      <c r="M108" s="1100"/>
      <c r="N108" s="1100"/>
    </row>
    <row r="109" spans="1:14" x14ac:dyDescent="0.3">
      <c r="A109" s="1100"/>
      <c r="B109" s="1100"/>
      <c r="C109" s="1100"/>
      <c r="D109" s="1100"/>
      <c r="E109" s="1100"/>
      <c r="F109" s="1100"/>
      <c r="G109" s="1100"/>
      <c r="H109" s="1100"/>
      <c r="I109" s="1100"/>
      <c r="J109" s="1100"/>
      <c r="K109" s="1100"/>
      <c r="L109" s="1100"/>
      <c r="M109" s="1100"/>
      <c r="N109" s="1100"/>
    </row>
    <row r="110" spans="1:14" x14ac:dyDescent="0.3">
      <c r="A110" s="1100"/>
      <c r="B110" s="1100"/>
      <c r="C110" s="1100"/>
      <c r="D110" s="1100"/>
      <c r="E110" s="1100"/>
      <c r="F110" s="1100"/>
      <c r="G110" s="1100"/>
      <c r="H110" s="1100"/>
      <c r="I110" s="1100"/>
      <c r="J110" s="1100"/>
      <c r="K110" s="1100"/>
      <c r="L110" s="1100"/>
      <c r="M110" s="1100"/>
      <c r="N110" s="1100"/>
    </row>
    <row r="111" spans="1:14" x14ac:dyDescent="0.3">
      <c r="A111" s="1100"/>
      <c r="B111" s="1100"/>
      <c r="C111" s="1100"/>
      <c r="D111" s="1100"/>
      <c r="E111" s="1100"/>
      <c r="F111" s="1100"/>
      <c r="G111" s="1100"/>
      <c r="H111" s="1100"/>
      <c r="I111" s="1100"/>
      <c r="J111" s="1100"/>
      <c r="K111" s="1100"/>
      <c r="L111" s="1100"/>
      <c r="M111" s="1100"/>
      <c r="N111" s="1100"/>
    </row>
    <row r="112" spans="1:14" x14ac:dyDescent="0.3">
      <c r="A112" s="1100"/>
      <c r="B112" s="1100"/>
      <c r="C112" s="1100"/>
      <c r="D112" s="1100"/>
      <c r="E112" s="1100"/>
      <c r="F112" s="1100"/>
      <c r="G112" s="1100"/>
      <c r="H112" s="1100"/>
      <c r="I112" s="1100"/>
      <c r="J112" s="1100"/>
      <c r="K112" s="1100"/>
      <c r="L112" s="1100"/>
      <c r="M112" s="1100"/>
      <c r="N112" s="1100"/>
    </row>
    <row r="113" spans="1:14" x14ac:dyDescent="0.3">
      <c r="A113" s="1100"/>
      <c r="B113" s="1100"/>
      <c r="C113" s="1100"/>
      <c r="D113" s="1100"/>
      <c r="E113" s="1100"/>
      <c r="F113" s="1100"/>
      <c r="G113" s="1100"/>
      <c r="H113" s="1100"/>
      <c r="I113" s="1100"/>
      <c r="J113" s="1100"/>
      <c r="K113" s="1100"/>
      <c r="L113" s="1100"/>
      <c r="M113" s="1100"/>
      <c r="N113" s="1100"/>
    </row>
    <row r="114" spans="1:14" x14ac:dyDescent="0.3">
      <c r="A114" s="1100"/>
      <c r="B114" s="1100"/>
      <c r="C114" s="1100"/>
      <c r="D114" s="1100"/>
      <c r="E114" s="1100"/>
      <c r="F114" s="1100"/>
      <c r="G114" s="1100"/>
      <c r="H114" s="1100"/>
      <c r="I114" s="1100"/>
      <c r="J114" s="1100"/>
      <c r="K114" s="1100"/>
      <c r="L114" s="1100"/>
      <c r="M114" s="1100"/>
      <c r="N114" s="1100"/>
    </row>
    <row r="115" spans="1:14" x14ac:dyDescent="0.3">
      <c r="A115" s="1100"/>
      <c r="B115" s="1100"/>
      <c r="C115" s="1100"/>
      <c r="D115" s="1100"/>
      <c r="E115" s="1100"/>
      <c r="F115" s="1100"/>
      <c r="G115" s="1100"/>
      <c r="H115" s="1100"/>
      <c r="I115" s="1100"/>
      <c r="J115" s="1100"/>
      <c r="K115" s="1100"/>
      <c r="L115" s="1100"/>
      <c r="M115" s="1100"/>
      <c r="N115" s="1100"/>
    </row>
    <row r="116" spans="1:14" x14ac:dyDescent="0.3">
      <c r="A116" s="1100"/>
      <c r="B116" s="1100"/>
      <c r="C116" s="1100"/>
      <c r="D116" s="1100"/>
      <c r="E116" s="1100"/>
      <c r="F116" s="1100"/>
      <c r="G116" s="1100"/>
      <c r="H116" s="1100"/>
      <c r="I116" s="1100"/>
      <c r="J116" s="1100"/>
      <c r="K116" s="1100"/>
      <c r="L116" s="1100"/>
      <c r="M116" s="1100"/>
      <c r="N116" s="1100"/>
    </row>
    <row r="117" spans="1:14" x14ac:dyDescent="0.3">
      <c r="A117" s="1100"/>
      <c r="B117" s="1100"/>
      <c r="C117" s="1100"/>
      <c r="D117" s="1100"/>
      <c r="E117" s="1100"/>
      <c r="F117" s="1100"/>
      <c r="G117" s="1100"/>
      <c r="H117" s="1100"/>
      <c r="I117" s="1100"/>
      <c r="J117" s="1100"/>
      <c r="K117" s="1100"/>
      <c r="L117" s="1100"/>
      <c r="M117" s="1100"/>
      <c r="N117" s="1100"/>
    </row>
    <row r="118" spans="1:14" x14ac:dyDescent="0.3">
      <c r="A118" s="1100"/>
      <c r="B118" s="1100"/>
      <c r="C118" s="1100"/>
      <c r="D118" s="1100"/>
      <c r="E118" s="1100"/>
      <c r="F118" s="1100"/>
      <c r="G118" s="1100"/>
      <c r="H118" s="1100"/>
      <c r="I118" s="1100"/>
      <c r="J118" s="1100"/>
      <c r="K118" s="1100"/>
      <c r="L118" s="1100"/>
      <c r="M118" s="1100"/>
      <c r="N118" s="1100"/>
    </row>
    <row r="119" spans="1:14" x14ac:dyDescent="0.3">
      <c r="A119" s="1100"/>
      <c r="B119" s="1100"/>
      <c r="C119" s="1100"/>
      <c r="D119" s="1100"/>
      <c r="E119" s="1100"/>
      <c r="F119" s="1100"/>
      <c r="G119" s="1100"/>
      <c r="H119" s="1100"/>
      <c r="I119" s="1100"/>
      <c r="J119" s="1100"/>
      <c r="K119" s="1100"/>
      <c r="L119" s="1100"/>
      <c r="M119" s="1100"/>
      <c r="N119" s="1100"/>
    </row>
    <row r="120" spans="1:14" x14ac:dyDescent="0.3">
      <c r="A120" s="1100"/>
      <c r="B120" s="1100"/>
      <c r="C120" s="1100"/>
      <c r="D120" s="1100"/>
      <c r="E120" s="1100"/>
      <c r="F120" s="1100"/>
      <c r="G120" s="1100"/>
      <c r="H120" s="1100"/>
      <c r="I120" s="1100"/>
      <c r="J120" s="1100"/>
      <c r="K120" s="1100"/>
      <c r="L120" s="1100"/>
      <c r="M120" s="1100"/>
      <c r="N120" s="1100"/>
    </row>
    <row r="121" spans="1:14" x14ac:dyDescent="0.3">
      <c r="A121" s="1100"/>
      <c r="B121" s="1100"/>
      <c r="C121" s="1100"/>
      <c r="D121" s="1100"/>
      <c r="E121" s="1100"/>
      <c r="F121" s="1100"/>
      <c r="G121" s="1100"/>
      <c r="H121" s="1100"/>
      <c r="I121" s="1100"/>
      <c r="J121" s="1100"/>
      <c r="K121" s="1100"/>
      <c r="L121" s="1100"/>
      <c r="M121" s="1100"/>
      <c r="N121" s="1100"/>
    </row>
    <row r="122" spans="1:14" x14ac:dyDescent="0.3">
      <c r="A122" s="1100"/>
      <c r="B122" s="1100"/>
      <c r="C122" s="1100"/>
      <c r="D122" s="1100"/>
      <c r="E122" s="1100"/>
      <c r="F122" s="1100"/>
      <c r="G122" s="1100"/>
      <c r="H122" s="1100"/>
      <c r="I122" s="1100"/>
      <c r="J122" s="1100"/>
      <c r="K122" s="1100"/>
      <c r="L122" s="1100"/>
      <c r="M122" s="1100"/>
      <c r="N122" s="1100"/>
    </row>
    <row r="123" spans="1:14" x14ac:dyDescent="0.3">
      <c r="A123" s="1100"/>
      <c r="B123" s="1100"/>
      <c r="C123" s="1100"/>
      <c r="D123" s="1100"/>
      <c r="E123" s="1100"/>
      <c r="F123" s="1100"/>
      <c r="G123" s="1100"/>
      <c r="H123" s="1100"/>
      <c r="I123" s="1100"/>
      <c r="J123" s="1100"/>
      <c r="K123" s="1100"/>
      <c r="L123" s="1100"/>
      <c r="M123" s="1100"/>
      <c r="N123" s="1100"/>
    </row>
    <row r="124" spans="1:14" x14ac:dyDescent="0.3">
      <c r="A124" s="1100"/>
      <c r="B124" s="1100"/>
      <c r="C124" s="1100"/>
      <c r="D124" s="1100"/>
      <c r="E124" s="1100"/>
      <c r="F124" s="1100"/>
      <c r="G124" s="1100"/>
      <c r="H124" s="1100"/>
      <c r="I124" s="1100"/>
      <c r="J124" s="1100"/>
      <c r="K124" s="1100"/>
      <c r="L124" s="1100"/>
      <c r="M124" s="1100"/>
      <c r="N124" s="1100"/>
    </row>
    <row r="125" spans="1:14" x14ac:dyDescent="0.3">
      <c r="A125" s="1100"/>
      <c r="B125" s="1100"/>
      <c r="C125" s="1100"/>
      <c r="D125" s="1100"/>
      <c r="E125" s="1100"/>
      <c r="F125" s="1100"/>
      <c r="G125" s="1100"/>
      <c r="H125" s="1100"/>
      <c r="I125" s="1100"/>
      <c r="J125" s="1100"/>
      <c r="K125" s="1100"/>
      <c r="L125" s="1100"/>
      <c r="M125" s="1100"/>
      <c r="N125" s="1100"/>
    </row>
    <row r="126" spans="1:14" x14ac:dyDescent="0.3">
      <c r="A126" s="1100"/>
      <c r="B126" s="1100"/>
      <c r="C126" s="1100"/>
      <c r="D126" s="1100"/>
      <c r="E126" s="1100"/>
      <c r="F126" s="1100"/>
      <c r="G126" s="1100"/>
      <c r="H126" s="1100"/>
      <c r="I126" s="1100"/>
      <c r="J126" s="1100"/>
      <c r="K126" s="1100"/>
      <c r="L126" s="1100"/>
      <c r="M126" s="1100"/>
      <c r="N126" s="1100"/>
    </row>
    <row r="127" spans="1:14" x14ac:dyDescent="0.3">
      <c r="A127" s="1100"/>
      <c r="B127" s="1100"/>
      <c r="C127" s="1100"/>
      <c r="D127" s="1100"/>
      <c r="E127" s="1100"/>
      <c r="F127" s="1100"/>
      <c r="G127" s="1100"/>
      <c r="H127" s="1100"/>
      <c r="I127" s="1100"/>
      <c r="J127" s="1100"/>
      <c r="K127" s="1100"/>
      <c r="L127" s="1100"/>
      <c r="M127" s="1100"/>
      <c r="N127" s="1100"/>
    </row>
    <row r="128" spans="1:14" x14ac:dyDescent="0.3">
      <c r="A128" s="1100"/>
      <c r="B128" s="1100"/>
      <c r="C128" s="1100"/>
      <c r="D128" s="1100"/>
      <c r="E128" s="1100"/>
      <c r="F128" s="1100"/>
      <c r="G128" s="1100"/>
      <c r="H128" s="1100"/>
      <c r="I128" s="1100"/>
      <c r="J128" s="1100"/>
      <c r="K128" s="1100"/>
      <c r="L128" s="1100"/>
      <c r="M128" s="1100"/>
      <c r="N128" s="1100"/>
    </row>
    <row r="129" spans="1:14" x14ac:dyDescent="0.3">
      <c r="A129" s="1100"/>
      <c r="B129" s="1100"/>
      <c r="C129" s="1100"/>
      <c r="D129" s="1100"/>
      <c r="E129" s="1100"/>
      <c r="F129" s="1100"/>
      <c r="G129" s="1100"/>
      <c r="H129" s="1100"/>
      <c r="I129" s="1100"/>
      <c r="J129" s="1100"/>
      <c r="K129" s="1100"/>
      <c r="L129" s="1100"/>
      <c r="M129" s="1100"/>
      <c r="N129" s="1100"/>
    </row>
    <row r="130" spans="1:14" x14ac:dyDescent="0.3">
      <c r="A130" s="1100"/>
      <c r="B130" s="1100"/>
      <c r="C130" s="1100"/>
      <c r="D130" s="1100"/>
      <c r="E130" s="1100"/>
      <c r="F130" s="1100"/>
      <c r="G130" s="1100"/>
      <c r="H130" s="1100"/>
      <c r="I130" s="1100"/>
      <c r="J130" s="1100"/>
      <c r="K130" s="1100"/>
      <c r="L130" s="1100"/>
      <c r="M130" s="1100"/>
      <c r="N130" s="1100"/>
    </row>
    <row r="131" spans="1:14" x14ac:dyDescent="0.3">
      <c r="A131" s="1100"/>
      <c r="B131" s="1100"/>
      <c r="C131" s="1100"/>
      <c r="D131" s="1100"/>
      <c r="E131" s="1100"/>
      <c r="F131" s="1100"/>
      <c r="G131" s="1100"/>
      <c r="H131" s="1100"/>
      <c r="I131" s="1100"/>
      <c r="J131" s="1100"/>
      <c r="K131" s="1100"/>
      <c r="L131" s="1100"/>
      <c r="M131" s="1100"/>
      <c r="N131" s="1100"/>
    </row>
    <row r="132" spans="1:14" x14ac:dyDescent="0.3">
      <c r="A132" s="1100"/>
      <c r="B132" s="1100"/>
      <c r="C132" s="1100"/>
      <c r="D132" s="1100"/>
      <c r="E132" s="1100"/>
      <c r="F132" s="1100"/>
      <c r="G132" s="1100"/>
      <c r="H132" s="1100"/>
      <c r="I132" s="1100"/>
      <c r="J132" s="1100"/>
      <c r="K132" s="1100"/>
      <c r="L132" s="1100"/>
      <c r="M132" s="1100"/>
      <c r="N132" s="1100"/>
    </row>
    <row r="133" spans="1:14" x14ac:dyDescent="0.3">
      <c r="A133" s="1100"/>
      <c r="B133" s="1100"/>
      <c r="C133" s="1100"/>
      <c r="D133" s="1100"/>
      <c r="E133" s="1100"/>
      <c r="F133" s="1100"/>
      <c r="G133" s="1100"/>
      <c r="H133" s="1100"/>
      <c r="I133" s="1100"/>
      <c r="J133" s="1100"/>
      <c r="K133" s="1100"/>
      <c r="L133" s="1100"/>
      <c r="M133" s="1100"/>
      <c r="N133" s="1100"/>
    </row>
    <row r="134" spans="1:14" x14ac:dyDescent="0.3">
      <c r="A134" s="1100"/>
      <c r="B134" s="1100"/>
      <c r="C134" s="1100"/>
      <c r="D134" s="1100"/>
      <c r="E134" s="1100"/>
      <c r="F134" s="1100"/>
      <c r="G134" s="1100"/>
      <c r="H134" s="1100"/>
      <c r="I134" s="1100"/>
      <c r="J134" s="1100"/>
      <c r="K134" s="1100"/>
      <c r="L134" s="1100"/>
      <c r="M134" s="1100"/>
      <c r="N134" s="1100"/>
    </row>
    <row r="135" spans="1:14" x14ac:dyDescent="0.3">
      <c r="A135" s="1100"/>
      <c r="B135" s="1100"/>
      <c r="C135" s="1100"/>
      <c r="D135" s="1100"/>
      <c r="E135" s="1100"/>
      <c r="F135" s="1100"/>
      <c r="G135" s="1100"/>
      <c r="H135" s="1100"/>
      <c r="I135" s="1100"/>
      <c r="J135" s="1100"/>
      <c r="K135" s="1100"/>
      <c r="L135" s="1100"/>
      <c r="M135" s="1100"/>
      <c r="N135" s="1100"/>
    </row>
    <row r="136" spans="1:14" x14ac:dyDescent="0.3">
      <c r="A136" s="1100"/>
      <c r="B136" s="1100"/>
      <c r="C136" s="1100"/>
      <c r="D136" s="1100"/>
      <c r="E136" s="1100"/>
      <c r="F136" s="1100"/>
      <c r="G136" s="1100"/>
      <c r="H136" s="1100"/>
      <c r="I136" s="1100"/>
      <c r="J136" s="1100"/>
      <c r="K136" s="1100"/>
      <c r="L136" s="1100"/>
      <c r="M136" s="1100"/>
      <c r="N136" s="1100"/>
    </row>
    <row r="137" spans="1:14" x14ac:dyDescent="0.3">
      <c r="A137" s="1100"/>
      <c r="B137" s="1100"/>
      <c r="C137" s="1100"/>
      <c r="D137" s="1100"/>
      <c r="E137" s="1100"/>
      <c r="F137" s="1100"/>
      <c r="G137" s="1100"/>
      <c r="H137" s="1100"/>
      <c r="I137" s="1100"/>
      <c r="J137" s="1100"/>
      <c r="K137" s="1100"/>
      <c r="L137" s="1100"/>
      <c r="M137" s="1100"/>
      <c r="N137" s="1100"/>
    </row>
    <row r="138" spans="1:14" x14ac:dyDescent="0.3">
      <c r="A138" s="1100"/>
      <c r="B138" s="1100"/>
      <c r="C138" s="1100"/>
      <c r="D138" s="1100"/>
      <c r="E138" s="1100"/>
      <c r="F138" s="1100"/>
      <c r="G138" s="1100"/>
      <c r="H138" s="1100"/>
      <c r="I138" s="1100"/>
      <c r="J138" s="1100"/>
      <c r="K138" s="1100"/>
      <c r="L138" s="1100"/>
      <c r="M138" s="1100"/>
      <c r="N138" s="1100"/>
    </row>
    <row r="139" spans="1:14" x14ac:dyDescent="0.3">
      <c r="A139" s="1100"/>
      <c r="B139" s="1100"/>
      <c r="C139" s="1100"/>
      <c r="D139" s="1100"/>
      <c r="E139" s="1100"/>
      <c r="F139" s="1100"/>
      <c r="G139" s="1100"/>
      <c r="H139" s="1100"/>
      <c r="I139" s="1100"/>
      <c r="J139" s="1100"/>
      <c r="K139" s="1100"/>
      <c r="L139" s="1100"/>
      <c r="M139" s="1100"/>
      <c r="N139" s="1100"/>
    </row>
    <row r="140" spans="1:14" x14ac:dyDescent="0.3">
      <c r="A140" s="1100"/>
      <c r="B140" s="1100"/>
      <c r="C140" s="1100"/>
      <c r="D140" s="1100"/>
      <c r="E140" s="1100"/>
      <c r="F140" s="1100"/>
      <c r="G140" s="1100"/>
      <c r="H140" s="1100"/>
      <c r="I140" s="1100"/>
      <c r="J140" s="1100"/>
      <c r="K140" s="1100"/>
      <c r="L140" s="1100"/>
      <c r="M140" s="1100"/>
      <c r="N140" s="1100"/>
    </row>
    <row r="141" spans="1:14" x14ac:dyDescent="0.3">
      <c r="A141" s="1100"/>
      <c r="B141" s="1100"/>
      <c r="C141" s="1100"/>
      <c r="D141" s="1100"/>
      <c r="E141" s="1100"/>
      <c r="F141" s="1100"/>
      <c r="G141" s="1100"/>
      <c r="H141" s="1100"/>
      <c r="I141" s="1100"/>
      <c r="J141" s="1100"/>
      <c r="K141" s="1100"/>
      <c r="L141" s="1100"/>
      <c r="M141" s="1100"/>
      <c r="N141" s="1100"/>
    </row>
    <row r="142" spans="1:14" x14ac:dyDescent="0.3">
      <c r="A142" s="1100"/>
      <c r="B142" s="1100"/>
      <c r="C142" s="1100"/>
      <c r="D142" s="1100"/>
      <c r="E142" s="1100"/>
      <c r="F142" s="1100"/>
      <c r="G142" s="1100"/>
      <c r="H142" s="1100"/>
      <c r="I142" s="1100"/>
      <c r="J142" s="1100"/>
      <c r="K142" s="1100"/>
      <c r="L142" s="1100"/>
      <c r="M142" s="1100"/>
      <c r="N142" s="1100"/>
    </row>
    <row r="143" spans="1:14" x14ac:dyDescent="0.3">
      <c r="A143" s="1100"/>
      <c r="B143" s="1100"/>
      <c r="C143" s="1100"/>
      <c r="D143" s="1100"/>
      <c r="E143" s="1100"/>
      <c r="F143" s="1100"/>
      <c r="G143" s="1100"/>
      <c r="H143" s="1100"/>
      <c r="I143" s="1100"/>
      <c r="J143" s="1100"/>
      <c r="K143" s="1100"/>
      <c r="L143" s="1100"/>
      <c r="M143" s="1100"/>
      <c r="N143" s="1100"/>
    </row>
    <row r="144" spans="1:14" x14ac:dyDescent="0.3">
      <c r="A144" s="1100"/>
      <c r="B144" s="1100"/>
      <c r="C144" s="1100"/>
      <c r="D144" s="1100"/>
      <c r="E144" s="1100"/>
      <c r="F144" s="1100"/>
      <c r="G144" s="1100"/>
      <c r="H144" s="1100"/>
      <c r="I144" s="1100"/>
      <c r="J144" s="1100"/>
      <c r="K144" s="1100"/>
      <c r="L144" s="1100"/>
      <c r="M144" s="1100"/>
      <c r="N144" s="1100"/>
    </row>
    <row r="145" spans="1:14" x14ac:dyDescent="0.3">
      <c r="A145" s="1100"/>
      <c r="B145" s="1100"/>
      <c r="C145" s="1100"/>
      <c r="D145" s="1100"/>
      <c r="E145" s="1100"/>
      <c r="F145" s="1100"/>
      <c r="G145" s="1100"/>
      <c r="H145" s="1100"/>
      <c r="I145" s="1100"/>
      <c r="J145" s="1100"/>
      <c r="K145" s="1100"/>
      <c r="L145" s="1100"/>
      <c r="M145" s="1100"/>
      <c r="N145" s="1100"/>
    </row>
    <row r="146" spans="1:14" x14ac:dyDescent="0.3">
      <c r="A146" s="1100"/>
      <c r="B146" s="1100"/>
      <c r="C146" s="1100"/>
      <c r="D146" s="1100"/>
      <c r="E146" s="1100"/>
      <c r="F146" s="1100"/>
      <c r="G146" s="1100"/>
      <c r="H146" s="1100"/>
      <c r="I146" s="1100"/>
      <c r="J146" s="1100"/>
      <c r="K146" s="1100"/>
      <c r="L146" s="1100"/>
      <c r="M146" s="1100"/>
      <c r="N146" s="1100"/>
    </row>
    <row r="147" spans="1:14" x14ac:dyDescent="0.3">
      <c r="A147" s="1100"/>
      <c r="B147" s="1100"/>
      <c r="C147" s="1100"/>
      <c r="D147" s="1100"/>
      <c r="E147" s="1100"/>
      <c r="F147" s="1100"/>
      <c r="G147" s="1100"/>
      <c r="H147" s="1100"/>
      <c r="I147" s="1100"/>
      <c r="J147" s="1100"/>
      <c r="K147" s="1100"/>
      <c r="L147" s="1100"/>
      <c r="M147" s="1100"/>
      <c r="N147" s="1100"/>
    </row>
    <row r="148" spans="1:14" x14ac:dyDescent="0.3">
      <c r="A148" s="1100"/>
      <c r="B148" s="1100"/>
      <c r="C148" s="1100"/>
      <c r="D148" s="1100"/>
      <c r="E148" s="1100"/>
      <c r="F148" s="1100"/>
      <c r="G148" s="1100"/>
      <c r="H148" s="1100"/>
      <c r="I148" s="1100"/>
      <c r="J148" s="1100"/>
      <c r="K148" s="1100"/>
      <c r="L148" s="1100"/>
      <c r="M148" s="1100"/>
      <c r="N148" s="1100"/>
    </row>
    <row r="149" spans="1:14" x14ac:dyDescent="0.3">
      <c r="A149" s="1100"/>
      <c r="B149" s="1100"/>
      <c r="C149" s="1100"/>
      <c r="D149" s="1100"/>
      <c r="E149" s="1100"/>
      <c r="F149" s="1100"/>
      <c r="G149" s="1100"/>
      <c r="H149" s="1100"/>
      <c r="I149" s="1100"/>
      <c r="J149" s="1100"/>
      <c r="K149" s="1100"/>
      <c r="L149" s="1100"/>
      <c r="M149" s="1100"/>
      <c r="N149" s="1100"/>
    </row>
    <row r="150" spans="1:14" x14ac:dyDescent="0.3">
      <c r="A150" s="1100"/>
      <c r="B150" s="1100"/>
      <c r="C150" s="1100"/>
      <c r="D150" s="1100"/>
      <c r="E150" s="1100"/>
      <c r="F150" s="1100"/>
      <c r="G150" s="1100"/>
      <c r="H150" s="1100"/>
      <c r="I150" s="1100"/>
      <c r="J150" s="1100"/>
      <c r="K150" s="1100"/>
      <c r="L150" s="1100"/>
      <c r="M150" s="1100"/>
      <c r="N150" s="1100"/>
    </row>
    <row r="151" spans="1:14" x14ac:dyDescent="0.3">
      <c r="A151" s="1100"/>
      <c r="B151" s="1100"/>
      <c r="C151" s="1100"/>
      <c r="D151" s="1100"/>
      <c r="E151" s="1100"/>
      <c r="F151" s="1100"/>
      <c r="G151" s="1100"/>
      <c r="H151" s="1100"/>
      <c r="I151" s="1100"/>
      <c r="J151" s="1100"/>
      <c r="K151" s="1100"/>
      <c r="L151" s="1100"/>
      <c r="M151" s="1100"/>
      <c r="N151" s="1100"/>
    </row>
    <row r="152" spans="1:14" x14ac:dyDescent="0.3">
      <c r="A152" s="1100"/>
      <c r="B152" s="1100"/>
      <c r="C152" s="1100"/>
      <c r="D152" s="1100"/>
      <c r="E152" s="1100"/>
      <c r="F152" s="1100"/>
      <c r="G152" s="1100"/>
      <c r="H152" s="1100"/>
      <c r="I152" s="1100"/>
      <c r="J152" s="1100"/>
      <c r="K152" s="1100"/>
      <c r="L152" s="1100"/>
      <c r="M152" s="1100"/>
      <c r="N152" s="1100"/>
    </row>
    <row r="153" spans="1:14" x14ac:dyDescent="0.3">
      <c r="A153" s="1100"/>
      <c r="B153" s="1100"/>
      <c r="C153" s="1100"/>
      <c r="D153" s="1100"/>
      <c r="E153" s="1100"/>
      <c r="F153" s="1100"/>
      <c r="G153" s="1100"/>
      <c r="H153" s="1100"/>
      <c r="I153" s="1100"/>
      <c r="J153" s="1100"/>
      <c r="K153" s="1100"/>
      <c r="L153" s="1100"/>
      <c r="M153" s="1100"/>
      <c r="N153" s="1100"/>
    </row>
    <row r="154" spans="1:14" x14ac:dyDescent="0.3">
      <c r="A154" s="1100"/>
      <c r="B154" s="1100"/>
      <c r="C154" s="1100"/>
      <c r="D154" s="1100"/>
      <c r="E154" s="1100"/>
      <c r="F154" s="1100"/>
      <c r="G154" s="1100"/>
      <c r="H154" s="1100"/>
      <c r="I154" s="1100"/>
      <c r="J154" s="1100"/>
      <c r="K154" s="1100"/>
      <c r="L154" s="1100"/>
      <c r="M154" s="1100"/>
      <c r="N154" s="1100"/>
    </row>
    <row r="155" spans="1:14" x14ac:dyDescent="0.3">
      <c r="A155" s="1100"/>
      <c r="B155" s="1100"/>
      <c r="C155" s="1100"/>
      <c r="D155" s="1100"/>
      <c r="E155" s="1100"/>
      <c r="F155" s="1100"/>
      <c r="G155" s="1100"/>
      <c r="H155" s="1100"/>
      <c r="I155" s="1100"/>
      <c r="J155" s="1100"/>
      <c r="K155" s="1100"/>
      <c r="L155" s="1100"/>
      <c r="M155" s="1100"/>
      <c r="N155" s="1100"/>
    </row>
    <row r="156" spans="1:14" x14ac:dyDescent="0.3">
      <c r="A156" s="1100"/>
      <c r="B156" s="1100"/>
      <c r="C156" s="1100"/>
      <c r="D156" s="1100"/>
      <c r="E156" s="1100"/>
      <c r="F156" s="1100"/>
      <c r="G156" s="1100"/>
      <c r="H156" s="1100"/>
      <c r="I156" s="1100"/>
      <c r="J156" s="1100"/>
      <c r="K156" s="1100"/>
      <c r="L156" s="1100"/>
      <c r="M156" s="1100"/>
      <c r="N156" s="1100"/>
    </row>
    <row r="157" spans="1:14" x14ac:dyDescent="0.3">
      <c r="A157" s="1100"/>
      <c r="B157" s="1100"/>
      <c r="C157" s="1100"/>
      <c r="D157" s="1100"/>
      <c r="E157" s="1100"/>
      <c r="F157" s="1100"/>
      <c r="G157" s="1100"/>
      <c r="H157" s="1100"/>
      <c r="I157" s="1100"/>
      <c r="J157" s="1100"/>
      <c r="K157" s="1100"/>
      <c r="L157" s="1100"/>
      <c r="M157" s="1100"/>
      <c r="N157" s="1100"/>
    </row>
    <row r="158" spans="1:14" x14ac:dyDescent="0.3">
      <c r="A158" s="1100"/>
      <c r="B158" s="1100"/>
      <c r="C158" s="1100"/>
      <c r="D158" s="1100"/>
      <c r="E158" s="1100"/>
      <c r="F158" s="1100"/>
      <c r="G158" s="1100"/>
      <c r="H158" s="1100"/>
      <c r="I158" s="1100"/>
      <c r="J158" s="1100"/>
      <c r="K158" s="1100"/>
      <c r="L158" s="1100"/>
      <c r="M158" s="1100"/>
      <c r="N158" s="1100"/>
    </row>
    <row r="159" spans="1:14" x14ac:dyDescent="0.3">
      <c r="A159" s="1100"/>
      <c r="B159" s="1100"/>
      <c r="C159" s="1100"/>
      <c r="D159" s="1100"/>
      <c r="E159" s="1100"/>
      <c r="F159" s="1100"/>
      <c r="G159" s="1100"/>
      <c r="H159" s="1100"/>
      <c r="I159" s="1100"/>
      <c r="J159" s="1100"/>
      <c r="K159" s="1100"/>
      <c r="L159" s="1100"/>
      <c r="M159" s="1100"/>
      <c r="N159" s="1100"/>
    </row>
    <row r="160" spans="1:14" x14ac:dyDescent="0.3">
      <c r="A160" s="1100"/>
      <c r="B160" s="1100"/>
      <c r="C160" s="1100"/>
      <c r="D160" s="1100"/>
      <c r="E160" s="1100"/>
      <c r="F160" s="1100"/>
      <c r="G160" s="1100"/>
      <c r="H160" s="1100"/>
      <c r="I160" s="1100"/>
      <c r="J160" s="1100"/>
      <c r="K160" s="1100"/>
      <c r="L160" s="1100"/>
      <c r="M160" s="1100"/>
      <c r="N160" s="1100"/>
    </row>
    <row r="161" spans="1:14" x14ac:dyDescent="0.3">
      <c r="A161" s="1100"/>
      <c r="B161" s="1100"/>
      <c r="C161" s="1100"/>
      <c r="D161" s="1100"/>
      <c r="E161" s="1100"/>
      <c r="F161" s="1100"/>
      <c r="G161" s="1100"/>
      <c r="H161" s="1100"/>
      <c r="I161" s="1100"/>
      <c r="J161" s="1100"/>
      <c r="K161" s="1100"/>
      <c r="L161" s="1100"/>
      <c r="M161" s="1100"/>
      <c r="N161" s="1100"/>
    </row>
    <row r="162" spans="1:14" x14ac:dyDescent="0.3">
      <c r="A162" s="1100"/>
      <c r="B162" s="1100"/>
      <c r="C162" s="1100"/>
      <c r="D162" s="1100"/>
      <c r="E162" s="1100"/>
      <c r="F162" s="1100"/>
      <c r="G162" s="1100"/>
      <c r="H162" s="1100"/>
      <c r="I162" s="1100"/>
      <c r="J162" s="1100"/>
      <c r="K162" s="1100"/>
      <c r="L162" s="1100"/>
      <c r="M162" s="1100"/>
      <c r="N162" s="1100"/>
    </row>
    <row r="163" spans="1:14" x14ac:dyDescent="0.3">
      <c r="A163" s="1100"/>
      <c r="B163" s="1100"/>
      <c r="C163" s="1100"/>
      <c r="D163" s="1100"/>
      <c r="E163" s="1100"/>
      <c r="F163" s="1100"/>
      <c r="G163" s="1100"/>
      <c r="H163" s="1100"/>
      <c r="I163" s="1100"/>
      <c r="J163" s="1100"/>
      <c r="K163" s="1100"/>
      <c r="L163" s="1100"/>
      <c r="M163" s="1100"/>
      <c r="N163" s="1100"/>
    </row>
    <row r="164" spans="1:14" x14ac:dyDescent="0.3">
      <c r="A164" s="1100"/>
      <c r="B164" s="1100"/>
      <c r="C164" s="1100"/>
      <c r="D164" s="1100"/>
      <c r="E164" s="1100"/>
      <c r="F164" s="1100"/>
      <c r="G164" s="1100"/>
      <c r="H164" s="1100"/>
      <c r="I164" s="1100"/>
      <c r="J164" s="1100"/>
      <c r="K164" s="1100"/>
      <c r="L164" s="1100"/>
      <c r="M164" s="1100"/>
      <c r="N164" s="1100"/>
    </row>
    <row r="165" spans="1:14" x14ac:dyDescent="0.3">
      <c r="A165" s="1100"/>
      <c r="B165" s="1100"/>
      <c r="C165" s="1100"/>
      <c r="D165" s="1100"/>
      <c r="E165" s="1100"/>
      <c r="F165" s="1100"/>
      <c r="G165" s="1100"/>
      <c r="H165" s="1100"/>
      <c r="I165" s="1100"/>
      <c r="J165" s="1100"/>
      <c r="K165" s="1100"/>
      <c r="L165" s="1100"/>
      <c r="M165" s="1100"/>
      <c r="N165" s="1100"/>
    </row>
    <row r="166" spans="1:14" x14ac:dyDescent="0.3">
      <c r="A166" s="1100"/>
      <c r="B166" s="1100"/>
      <c r="C166" s="1100"/>
      <c r="D166" s="1100"/>
      <c r="E166" s="1100"/>
      <c r="F166" s="1100"/>
      <c r="G166" s="1100"/>
      <c r="H166" s="1100"/>
      <c r="I166" s="1100"/>
      <c r="J166" s="1100"/>
      <c r="K166" s="1100"/>
      <c r="L166" s="1100"/>
      <c r="M166" s="1100"/>
      <c r="N166" s="1100"/>
    </row>
    <row r="167" spans="1:14" x14ac:dyDescent="0.3">
      <c r="A167" s="1100"/>
      <c r="B167" s="1100"/>
      <c r="C167" s="1100"/>
      <c r="D167" s="1100"/>
      <c r="E167" s="1100"/>
      <c r="F167" s="1100"/>
      <c r="G167" s="1100"/>
      <c r="H167" s="1100"/>
      <c r="I167" s="1100"/>
      <c r="J167" s="1100"/>
      <c r="K167" s="1100"/>
      <c r="L167" s="1100"/>
      <c r="M167" s="1100"/>
      <c r="N167" s="1100"/>
    </row>
    <row r="168" spans="1:14" x14ac:dyDescent="0.3">
      <c r="A168" s="1100"/>
      <c r="B168" s="1100"/>
      <c r="C168" s="1100"/>
      <c r="D168" s="1100"/>
      <c r="E168" s="1100"/>
      <c r="F168" s="1100"/>
      <c r="G168" s="1100"/>
      <c r="H168" s="1100"/>
      <c r="I168" s="1100"/>
      <c r="J168" s="1100"/>
      <c r="K168" s="1100"/>
      <c r="L168" s="1100"/>
      <c r="M168" s="1100"/>
      <c r="N168" s="1100"/>
    </row>
    <row r="169" spans="1:14" x14ac:dyDescent="0.3">
      <c r="A169" s="1100"/>
      <c r="B169" s="1100"/>
      <c r="C169" s="1100"/>
      <c r="D169" s="1100"/>
      <c r="E169" s="1100"/>
      <c r="F169" s="1100"/>
      <c r="G169" s="1100"/>
      <c r="H169" s="1100"/>
      <c r="I169" s="1100"/>
      <c r="J169" s="1100"/>
      <c r="K169" s="1100"/>
      <c r="L169" s="1100"/>
      <c r="M169" s="1100"/>
      <c r="N169" s="1100"/>
    </row>
    <row r="170" spans="1:14" x14ac:dyDescent="0.3">
      <c r="A170" s="1100"/>
      <c r="B170" s="1100"/>
      <c r="C170" s="1100"/>
      <c r="D170" s="1100"/>
      <c r="E170" s="1100"/>
      <c r="F170" s="1100"/>
      <c r="G170" s="1100"/>
      <c r="H170" s="1100"/>
      <c r="I170" s="1100"/>
      <c r="J170" s="1100"/>
      <c r="K170" s="1100"/>
      <c r="L170" s="1100"/>
      <c r="M170" s="1100"/>
      <c r="N170" s="1100"/>
    </row>
    <row r="171" spans="1:14" x14ac:dyDescent="0.3">
      <c r="A171" s="1100"/>
      <c r="B171" s="1100"/>
      <c r="C171" s="1100"/>
      <c r="D171" s="1100"/>
      <c r="E171" s="1100"/>
      <c r="F171" s="1100"/>
      <c r="G171" s="1100"/>
      <c r="H171" s="1100"/>
      <c r="I171" s="1100"/>
      <c r="J171" s="1100"/>
      <c r="K171" s="1100"/>
      <c r="L171" s="1100"/>
      <c r="M171" s="1100"/>
      <c r="N171" s="1100"/>
    </row>
    <row r="172" spans="1:14" x14ac:dyDescent="0.3">
      <c r="A172" s="1100"/>
      <c r="B172" s="1100"/>
      <c r="C172" s="1100"/>
      <c r="D172" s="1100"/>
      <c r="E172" s="1100"/>
      <c r="F172" s="1100"/>
      <c r="G172" s="1100"/>
      <c r="H172" s="1100"/>
      <c r="I172" s="1100"/>
      <c r="J172" s="1100"/>
      <c r="K172" s="1100"/>
      <c r="L172" s="1100"/>
      <c r="M172" s="1100"/>
      <c r="N172" s="1100"/>
    </row>
    <row r="173" spans="1:14" x14ac:dyDescent="0.3">
      <c r="A173" s="1100"/>
      <c r="B173" s="1100"/>
      <c r="C173" s="1100"/>
      <c r="D173" s="1100"/>
      <c r="E173" s="1100"/>
      <c r="F173" s="1100"/>
      <c r="G173" s="1100"/>
      <c r="H173" s="1100"/>
      <c r="I173" s="1100"/>
      <c r="J173" s="1100"/>
      <c r="K173" s="1100"/>
      <c r="L173" s="1100"/>
      <c r="M173" s="1100"/>
      <c r="N173" s="1100"/>
    </row>
    <row r="174" spans="1:14" x14ac:dyDescent="0.3">
      <c r="A174" s="1100"/>
      <c r="B174" s="1100"/>
      <c r="C174" s="1100"/>
      <c r="D174" s="1100"/>
      <c r="E174" s="1100"/>
      <c r="F174" s="1100"/>
      <c r="G174" s="1100"/>
      <c r="H174" s="1100"/>
      <c r="I174" s="1100"/>
      <c r="J174" s="1100"/>
      <c r="K174" s="1100"/>
      <c r="L174" s="1100"/>
      <c r="M174" s="1100"/>
      <c r="N174" s="1100"/>
    </row>
    <row r="175" spans="1:14" x14ac:dyDescent="0.3">
      <c r="A175" s="1100"/>
      <c r="B175" s="1100"/>
      <c r="C175" s="1100"/>
      <c r="D175" s="1100"/>
      <c r="E175" s="1100"/>
      <c r="F175" s="1100"/>
      <c r="G175" s="1100"/>
      <c r="H175" s="1100"/>
      <c r="I175" s="1100"/>
      <c r="J175" s="1100"/>
      <c r="K175" s="1100"/>
      <c r="L175" s="1100"/>
      <c r="M175" s="1100"/>
      <c r="N175" s="1100"/>
    </row>
    <row r="176" spans="1:14" x14ac:dyDescent="0.3">
      <c r="A176" s="1100"/>
      <c r="B176" s="1100"/>
      <c r="C176" s="1100"/>
      <c r="D176" s="1100"/>
      <c r="E176" s="1100"/>
      <c r="F176" s="1100"/>
      <c r="G176" s="1100"/>
      <c r="H176" s="1100"/>
      <c r="I176" s="1100"/>
      <c r="J176" s="1100"/>
      <c r="K176" s="1100"/>
      <c r="L176" s="1100"/>
      <c r="M176" s="1100"/>
      <c r="N176" s="1100"/>
    </row>
    <row r="177" spans="1:14" x14ac:dyDescent="0.3">
      <c r="A177" s="1100"/>
      <c r="B177" s="1100"/>
      <c r="C177" s="1100"/>
      <c r="D177" s="1100"/>
      <c r="E177" s="1100"/>
      <c r="F177" s="1100"/>
      <c r="G177" s="1100"/>
      <c r="H177" s="1100"/>
      <c r="I177" s="1100"/>
      <c r="J177" s="1100"/>
      <c r="K177" s="1100"/>
      <c r="L177" s="1100"/>
      <c r="M177" s="1100"/>
      <c r="N177" s="1100"/>
    </row>
    <row r="178" spans="1:14" x14ac:dyDescent="0.3">
      <c r="A178" s="1100"/>
      <c r="B178" s="1100"/>
      <c r="C178" s="1100"/>
      <c r="D178" s="1100"/>
      <c r="E178" s="1100"/>
      <c r="F178" s="1100"/>
      <c r="G178" s="1100"/>
      <c r="H178" s="1100"/>
      <c r="I178" s="1100"/>
      <c r="J178" s="1100"/>
      <c r="K178" s="1100"/>
      <c r="L178" s="1100"/>
      <c r="M178" s="1100"/>
      <c r="N178" s="1100"/>
    </row>
    <row r="179" spans="1:14" x14ac:dyDescent="0.3">
      <c r="A179" s="1100"/>
      <c r="B179" s="1100"/>
      <c r="C179" s="1100"/>
      <c r="D179" s="1100"/>
      <c r="E179" s="1100"/>
      <c r="F179" s="1100"/>
      <c r="G179" s="1100"/>
      <c r="H179" s="1100"/>
      <c r="I179" s="1100"/>
      <c r="J179" s="1100"/>
      <c r="K179" s="1100"/>
      <c r="L179" s="1100"/>
      <c r="M179" s="1100"/>
      <c r="N179" s="1100"/>
    </row>
    <row r="180" spans="1:14" x14ac:dyDescent="0.3">
      <c r="A180" s="1100"/>
      <c r="B180" s="1100"/>
      <c r="C180" s="1100"/>
      <c r="D180" s="1100"/>
      <c r="E180" s="1100"/>
      <c r="F180" s="1100"/>
      <c r="G180" s="1100"/>
      <c r="H180" s="1100"/>
      <c r="I180" s="1100"/>
      <c r="J180" s="1100"/>
      <c r="K180" s="1100"/>
      <c r="L180" s="1100"/>
      <c r="M180" s="1100"/>
      <c r="N180" s="1100"/>
    </row>
    <row r="181" spans="1:14" x14ac:dyDescent="0.3">
      <c r="A181" s="1100"/>
      <c r="B181" s="1100"/>
      <c r="C181" s="1100"/>
      <c r="D181" s="1100"/>
      <c r="E181" s="1100"/>
      <c r="F181" s="1100"/>
      <c r="G181" s="1100"/>
      <c r="H181" s="1100"/>
      <c r="I181" s="1100"/>
      <c r="J181" s="1100"/>
      <c r="K181" s="1100"/>
      <c r="L181" s="1100"/>
      <c r="M181" s="1100"/>
      <c r="N181" s="1100"/>
    </row>
    <row r="182" spans="1:14" x14ac:dyDescent="0.3">
      <c r="A182" s="1100"/>
      <c r="B182" s="1100"/>
      <c r="C182" s="1100"/>
      <c r="D182" s="1100"/>
      <c r="E182" s="1100"/>
      <c r="F182" s="1100"/>
      <c r="G182" s="1100"/>
      <c r="H182" s="1100"/>
      <c r="I182" s="1100"/>
      <c r="J182" s="1100"/>
      <c r="K182" s="1100"/>
      <c r="L182" s="1100"/>
      <c r="M182" s="1100"/>
      <c r="N182" s="1100"/>
    </row>
    <row r="183" spans="1:14" x14ac:dyDescent="0.3">
      <c r="A183" s="1100"/>
      <c r="B183" s="1100"/>
      <c r="C183" s="1100"/>
      <c r="D183" s="1100"/>
      <c r="E183" s="1100"/>
      <c r="F183" s="1100"/>
      <c r="G183" s="1100"/>
      <c r="H183" s="1100"/>
      <c r="I183" s="1100"/>
      <c r="J183" s="1100"/>
      <c r="K183" s="1100"/>
      <c r="L183" s="1100"/>
      <c r="M183" s="1100"/>
      <c r="N183" s="1100"/>
    </row>
    <row r="184" spans="1:14" x14ac:dyDescent="0.3">
      <c r="A184" s="1100"/>
      <c r="B184" s="1100"/>
      <c r="C184" s="1100"/>
      <c r="D184" s="1100"/>
      <c r="E184" s="1100"/>
      <c r="F184" s="1100"/>
      <c r="G184" s="1100"/>
      <c r="H184" s="1100"/>
      <c r="I184" s="1100"/>
      <c r="J184" s="1100"/>
      <c r="K184" s="1100"/>
      <c r="L184" s="1100"/>
      <c r="M184" s="1100"/>
      <c r="N184" s="1100"/>
    </row>
    <row r="185" spans="1:14" x14ac:dyDescent="0.3">
      <c r="A185" s="1100"/>
      <c r="B185" s="1100"/>
      <c r="C185" s="1100"/>
      <c r="D185" s="1100"/>
      <c r="E185" s="1100"/>
      <c r="F185" s="1100"/>
      <c r="G185" s="1100"/>
      <c r="H185" s="1100"/>
      <c r="I185" s="1100"/>
      <c r="J185" s="1100"/>
      <c r="K185" s="1100"/>
      <c r="L185" s="1100"/>
      <c r="M185" s="1100"/>
      <c r="N185" s="1100"/>
    </row>
    <row r="186" spans="1:14" x14ac:dyDescent="0.3">
      <c r="A186" s="1100"/>
      <c r="B186" s="1100"/>
      <c r="C186" s="1100"/>
      <c r="D186" s="1100"/>
      <c r="E186" s="1100"/>
      <c r="F186" s="1100"/>
      <c r="G186" s="1100"/>
      <c r="H186" s="1100"/>
      <c r="I186" s="1100"/>
      <c r="J186" s="1100"/>
      <c r="K186" s="1100"/>
      <c r="L186" s="1100"/>
      <c r="M186" s="1100"/>
      <c r="N186" s="1100"/>
    </row>
    <row r="187" spans="1:14" x14ac:dyDescent="0.3">
      <c r="A187" s="1100"/>
      <c r="B187" s="1100"/>
      <c r="C187" s="1100"/>
      <c r="D187" s="1100"/>
      <c r="E187" s="1100"/>
      <c r="F187" s="1100"/>
      <c r="G187" s="1100"/>
      <c r="H187" s="1100"/>
      <c r="I187" s="1100"/>
      <c r="J187" s="1100"/>
      <c r="K187" s="1100"/>
      <c r="L187" s="1100"/>
      <c r="M187" s="1100"/>
      <c r="N187" s="1100"/>
    </row>
    <row r="188" spans="1:14" x14ac:dyDescent="0.3">
      <c r="A188" s="1100"/>
      <c r="B188" s="1100"/>
      <c r="C188" s="1100"/>
      <c r="D188" s="1100"/>
      <c r="E188" s="1100"/>
      <c r="F188" s="1100"/>
      <c r="G188" s="1100"/>
      <c r="H188" s="1100"/>
      <c r="I188" s="1100"/>
      <c r="J188" s="1100"/>
      <c r="K188" s="1100"/>
      <c r="L188" s="1100"/>
      <c r="M188" s="1100"/>
      <c r="N188" s="1100"/>
    </row>
    <row r="189" spans="1:14" x14ac:dyDescent="0.3">
      <c r="A189" s="1100"/>
      <c r="B189" s="1100"/>
      <c r="C189" s="1100"/>
      <c r="D189" s="1100"/>
      <c r="E189" s="1100"/>
      <c r="F189" s="1100"/>
      <c r="G189" s="1100"/>
      <c r="H189" s="1100"/>
      <c r="I189" s="1100"/>
      <c r="J189" s="1100"/>
      <c r="K189" s="1100"/>
      <c r="L189" s="1100"/>
      <c r="M189" s="1100"/>
      <c r="N189" s="1100"/>
    </row>
    <row r="190" spans="1:14" x14ac:dyDescent="0.3">
      <c r="A190" s="1100"/>
      <c r="B190" s="1100"/>
      <c r="C190" s="1100"/>
      <c r="D190" s="1100"/>
      <c r="E190" s="1100"/>
      <c r="F190" s="1100"/>
      <c r="G190" s="1100"/>
      <c r="H190" s="1100"/>
      <c r="I190" s="1100"/>
      <c r="J190" s="1100"/>
      <c r="K190" s="1100"/>
      <c r="L190" s="1100"/>
      <c r="M190" s="1100"/>
      <c r="N190" s="1100"/>
    </row>
    <row r="191" spans="1:14" x14ac:dyDescent="0.3">
      <c r="A191" s="1100"/>
      <c r="B191" s="1100"/>
      <c r="C191" s="1100"/>
      <c r="D191" s="1100"/>
      <c r="E191" s="1100"/>
      <c r="F191" s="1100"/>
      <c r="G191" s="1100"/>
      <c r="H191" s="1100"/>
      <c r="I191" s="1100"/>
      <c r="J191" s="1100"/>
      <c r="K191" s="1100"/>
      <c r="L191" s="1100"/>
      <c r="M191" s="1100"/>
      <c r="N191" s="1100"/>
    </row>
    <row r="192" spans="1:14" x14ac:dyDescent="0.3">
      <c r="A192" s="1100"/>
      <c r="B192" s="1100"/>
      <c r="C192" s="1100"/>
      <c r="D192" s="1100"/>
      <c r="E192" s="1100"/>
      <c r="F192" s="1100"/>
      <c r="G192" s="1100"/>
      <c r="H192" s="1100"/>
      <c r="I192" s="1100"/>
      <c r="J192" s="1100"/>
      <c r="K192" s="1100"/>
      <c r="L192" s="1100"/>
      <c r="M192" s="1100"/>
      <c r="N192" s="1100"/>
    </row>
    <row r="193" spans="1:14" x14ac:dyDescent="0.3">
      <c r="A193" s="1100"/>
      <c r="B193" s="1100"/>
      <c r="C193" s="1100"/>
      <c r="D193" s="1100"/>
      <c r="E193" s="1100"/>
      <c r="F193" s="1100"/>
      <c r="G193" s="1100"/>
      <c r="H193" s="1100"/>
      <c r="I193" s="1100"/>
      <c r="J193" s="1100"/>
      <c r="K193" s="1100"/>
      <c r="L193" s="1100"/>
      <c r="M193" s="1100"/>
      <c r="N193" s="1100"/>
    </row>
    <row r="194" spans="1:14" x14ac:dyDescent="0.3">
      <c r="A194" s="1100"/>
      <c r="B194" s="1100"/>
      <c r="C194" s="1100"/>
      <c r="D194" s="1100"/>
      <c r="E194" s="1100"/>
      <c r="F194" s="1100"/>
      <c r="G194" s="1100"/>
      <c r="H194" s="1100"/>
      <c r="I194" s="1100"/>
      <c r="J194" s="1100"/>
      <c r="K194" s="1100"/>
      <c r="L194" s="1100"/>
      <c r="M194" s="1100"/>
      <c r="N194" s="1100"/>
    </row>
    <row r="195" spans="1:14" x14ac:dyDescent="0.3">
      <c r="A195" s="1100"/>
      <c r="B195" s="1100"/>
      <c r="C195" s="1100"/>
      <c r="D195" s="1100"/>
      <c r="E195" s="1100"/>
      <c r="F195" s="1100"/>
      <c r="G195" s="1100"/>
      <c r="H195" s="1100"/>
      <c r="I195" s="1100"/>
      <c r="J195" s="1100"/>
      <c r="K195" s="1100"/>
      <c r="L195" s="1100"/>
      <c r="M195" s="1100"/>
      <c r="N195" s="1100"/>
    </row>
    <row r="196" spans="1:14" x14ac:dyDescent="0.3">
      <c r="A196" s="1100"/>
      <c r="B196" s="1100"/>
      <c r="C196" s="1100"/>
      <c r="D196" s="1100"/>
      <c r="E196" s="1100"/>
      <c r="F196" s="1100"/>
      <c r="G196" s="1100"/>
      <c r="H196" s="1100"/>
      <c r="I196" s="1100"/>
      <c r="J196" s="1100"/>
      <c r="K196" s="1100"/>
      <c r="L196" s="1100"/>
      <c r="M196" s="1100"/>
      <c r="N196" s="1100"/>
    </row>
    <row r="197" spans="1:14" x14ac:dyDescent="0.3">
      <c r="A197" s="1100"/>
      <c r="B197" s="1100"/>
      <c r="C197" s="1100"/>
      <c r="D197" s="1100"/>
      <c r="E197" s="1100"/>
      <c r="F197" s="1100"/>
      <c r="G197" s="1100"/>
      <c r="H197" s="1100"/>
      <c r="I197" s="1100"/>
      <c r="J197" s="1100"/>
      <c r="K197" s="1100"/>
      <c r="L197" s="1100"/>
      <c r="M197" s="1100"/>
      <c r="N197" s="1100"/>
    </row>
    <row r="198" spans="1:14" x14ac:dyDescent="0.3">
      <c r="A198" s="1100"/>
      <c r="B198" s="1100"/>
      <c r="C198" s="1100"/>
      <c r="D198" s="1100"/>
      <c r="E198" s="1100"/>
      <c r="F198" s="1100"/>
      <c r="G198" s="1100"/>
      <c r="H198" s="1100"/>
      <c r="I198" s="1100"/>
      <c r="J198" s="1100"/>
      <c r="K198" s="1100"/>
      <c r="L198" s="1100"/>
      <c r="M198" s="1100"/>
      <c r="N198" s="1100"/>
    </row>
    <row r="199" spans="1:14" x14ac:dyDescent="0.3">
      <c r="A199" s="1100"/>
      <c r="B199" s="1100"/>
      <c r="C199" s="1100"/>
      <c r="D199" s="1100"/>
      <c r="E199" s="1100"/>
      <c r="F199" s="1100"/>
      <c r="G199" s="1100"/>
      <c r="H199" s="1100"/>
      <c r="I199" s="1100"/>
      <c r="J199" s="1100"/>
      <c r="K199" s="1100"/>
      <c r="L199" s="1100"/>
      <c r="M199" s="1100"/>
      <c r="N199" s="1100"/>
    </row>
    <row r="200" spans="1:14" x14ac:dyDescent="0.3">
      <c r="A200" s="1100"/>
      <c r="B200" s="1100"/>
      <c r="C200" s="1100"/>
      <c r="D200" s="1100"/>
      <c r="E200" s="1100"/>
      <c r="F200" s="1100"/>
      <c r="G200" s="1100"/>
      <c r="H200" s="1100"/>
      <c r="I200" s="1100"/>
      <c r="J200" s="1100"/>
      <c r="K200" s="1100"/>
      <c r="L200" s="1100"/>
      <c r="M200" s="1100"/>
      <c r="N200" s="1100"/>
    </row>
    <row r="201" spans="1:14" x14ac:dyDescent="0.3">
      <c r="A201" s="1100"/>
      <c r="B201" s="1100"/>
      <c r="C201" s="1100"/>
      <c r="D201" s="1100"/>
      <c r="E201" s="1100"/>
      <c r="F201" s="1100"/>
      <c r="G201" s="1100"/>
      <c r="H201" s="1100"/>
      <c r="I201" s="1100"/>
      <c r="J201" s="1100"/>
      <c r="K201" s="1100"/>
      <c r="L201" s="1100"/>
      <c r="M201" s="1100"/>
      <c r="N201" s="1100"/>
    </row>
    <row r="202" spans="1:14" x14ac:dyDescent="0.3">
      <c r="A202" s="1100"/>
      <c r="B202" s="1100"/>
      <c r="C202" s="1100"/>
      <c r="D202" s="1100"/>
      <c r="E202" s="1100"/>
      <c r="F202" s="1100"/>
      <c r="G202" s="1100"/>
      <c r="H202" s="1100"/>
      <c r="I202" s="1100"/>
      <c r="J202" s="1100"/>
      <c r="K202" s="1100"/>
      <c r="L202" s="1100"/>
      <c r="M202" s="1100"/>
      <c r="N202" s="1100"/>
    </row>
    <row r="203" spans="1:14" x14ac:dyDescent="0.3">
      <c r="A203" s="1100"/>
      <c r="B203" s="1100"/>
      <c r="C203" s="1100"/>
      <c r="D203" s="1100"/>
      <c r="E203" s="1100"/>
      <c r="F203" s="1100"/>
      <c r="G203" s="1100"/>
      <c r="H203" s="1100"/>
      <c r="I203" s="1100"/>
      <c r="J203" s="1100"/>
      <c r="K203" s="1100"/>
      <c r="L203" s="1100"/>
      <c r="M203" s="1100"/>
      <c r="N203" s="1100"/>
    </row>
    <row r="204" spans="1:14" x14ac:dyDescent="0.3">
      <c r="A204" s="1100"/>
      <c r="B204" s="1100"/>
      <c r="C204" s="1100"/>
      <c r="D204" s="1100"/>
      <c r="E204" s="1100"/>
      <c r="F204" s="1100"/>
      <c r="G204" s="1100"/>
      <c r="H204" s="1100"/>
      <c r="I204" s="1100"/>
      <c r="J204" s="1100"/>
      <c r="K204" s="1100"/>
      <c r="L204" s="1100"/>
      <c r="M204" s="1100"/>
      <c r="N204" s="1100"/>
    </row>
    <row r="205" spans="1:14" x14ac:dyDescent="0.3">
      <c r="A205" s="1100"/>
      <c r="B205" s="1100"/>
      <c r="C205" s="1100"/>
      <c r="D205" s="1100"/>
      <c r="E205" s="1100"/>
      <c r="F205" s="1100"/>
      <c r="G205" s="1100"/>
      <c r="H205" s="1100"/>
      <c r="I205" s="1100"/>
      <c r="J205" s="1100"/>
      <c r="K205" s="1100"/>
      <c r="L205" s="1100"/>
      <c r="M205" s="1100"/>
      <c r="N205" s="1100"/>
    </row>
    <row r="206" spans="1:14" x14ac:dyDescent="0.3">
      <c r="A206" s="1100"/>
      <c r="B206" s="1100"/>
      <c r="C206" s="1100"/>
      <c r="D206" s="1100"/>
      <c r="E206" s="1100"/>
      <c r="F206" s="1100"/>
      <c r="G206" s="1100"/>
      <c r="H206" s="1100"/>
      <c r="I206" s="1100"/>
      <c r="J206" s="1100"/>
      <c r="K206" s="1100"/>
      <c r="L206" s="1100"/>
      <c r="M206" s="1100"/>
      <c r="N206" s="1100"/>
    </row>
    <row r="207" spans="1:14" x14ac:dyDescent="0.3">
      <c r="A207" s="1100"/>
      <c r="B207" s="1100"/>
      <c r="C207" s="1100"/>
      <c r="D207" s="1100"/>
      <c r="E207" s="1100"/>
      <c r="F207" s="1100"/>
      <c r="G207" s="1100"/>
      <c r="H207" s="1100"/>
      <c r="I207" s="1100"/>
      <c r="J207" s="1100"/>
      <c r="K207" s="1100"/>
      <c r="L207" s="1100"/>
      <c r="M207" s="1100"/>
      <c r="N207" s="1100"/>
    </row>
    <row r="208" spans="1:14" x14ac:dyDescent="0.3">
      <c r="A208" s="1100"/>
      <c r="B208" s="1100"/>
      <c r="C208" s="1100"/>
      <c r="D208" s="1100"/>
      <c r="E208" s="1100"/>
      <c r="F208" s="1100"/>
      <c r="G208" s="1100"/>
      <c r="H208" s="1100"/>
      <c r="I208" s="1100"/>
      <c r="J208" s="1100"/>
      <c r="K208" s="1100"/>
      <c r="L208" s="1100"/>
      <c r="M208" s="1100"/>
      <c r="N208" s="1100"/>
    </row>
    <row r="209" spans="1:14" x14ac:dyDescent="0.3">
      <c r="A209" s="1100"/>
      <c r="B209" s="1100"/>
      <c r="C209" s="1100"/>
      <c r="D209" s="1100"/>
      <c r="E209" s="1100"/>
      <c r="F209" s="1100"/>
      <c r="G209" s="1100"/>
      <c r="H209" s="1100"/>
      <c r="I209" s="1100"/>
      <c r="J209" s="1100"/>
      <c r="K209" s="1100"/>
      <c r="L209" s="1100"/>
      <c r="M209" s="1100"/>
      <c r="N209" s="1100"/>
    </row>
    <row r="210" spans="1:14" x14ac:dyDescent="0.3">
      <c r="A210" s="1100"/>
      <c r="B210" s="1100"/>
      <c r="C210" s="1100"/>
      <c r="D210" s="1100"/>
      <c r="E210" s="1100"/>
      <c r="F210" s="1100"/>
      <c r="G210" s="1100"/>
      <c r="H210" s="1100"/>
      <c r="I210" s="1100"/>
      <c r="J210" s="1100"/>
      <c r="K210" s="1100"/>
      <c r="L210" s="1100"/>
      <c r="M210" s="1100"/>
      <c r="N210" s="1100"/>
    </row>
    <row r="211" spans="1:14" x14ac:dyDescent="0.3">
      <c r="A211" s="1100"/>
      <c r="B211" s="1100"/>
      <c r="C211" s="1100"/>
      <c r="D211" s="1100"/>
      <c r="E211" s="1100"/>
      <c r="F211" s="1100"/>
      <c r="G211" s="1100"/>
      <c r="H211" s="1100"/>
      <c r="I211" s="1100"/>
      <c r="J211" s="1100"/>
      <c r="K211" s="1100"/>
      <c r="L211" s="1100"/>
      <c r="M211" s="1100"/>
      <c r="N211" s="1100"/>
    </row>
    <row r="212" spans="1:14" x14ac:dyDescent="0.3">
      <c r="A212" s="1100"/>
      <c r="B212" s="1100"/>
      <c r="C212" s="1100"/>
      <c r="D212" s="1100"/>
      <c r="E212" s="1100"/>
      <c r="F212" s="1100"/>
      <c r="G212" s="1100"/>
      <c r="H212" s="1100"/>
      <c r="I212" s="1100"/>
      <c r="J212" s="1101"/>
      <c r="K212" s="1101"/>
      <c r="L212" s="1101"/>
      <c r="M212" s="1101"/>
      <c r="N212" s="1101"/>
    </row>
    <row r="213" spans="1:14" x14ac:dyDescent="0.3">
      <c r="A213" s="1100"/>
      <c r="B213" s="1100"/>
      <c r="C213" s="1100"/>
      <c r="D213" s="1100"/>
      <c r="E213" s="1100"/>
      <c r="F213" s="1100"/>
      <c r="G213" s="1100"/>
      <c r="H213" s="1100"/>
      <c r="I213" s="1100"/>
    </row>
    <row r="214" spans="1:14" x14ac:dyDescent="0.3">
      <c r="A214" s="1100"/>
      <c r="B214" s="1100"/>
      <c r="C214" s="1100"/>
      <c r="D214" s="1100"/>
      <c r="E214" s="1100"/>
      <c r="F214" s="1100"/>
      <c r="G214" s="1100"/>
      <c r="H214" s="1100"/>
      <c r="I214" s="1100"/>
    </row>
    <row r="215" spans="1:14" x14ac:dyDescent="0.3">
      <c r="A215" s="1100"/>
      <c r="B215" s="1100"/>
      <c r="C215" s="1100"/>
      <c r="D215" s="1100"/>
      <c r="E215" s="1100"/>
      <c r="F215" s="1100"/>
      <c r="G215" s="1100"/>
      <c r="H215" s="1100"/>
      <c r="I215" s="1100"/>
    </row>
    <row r="216" spans="1:14" x14ac:dyDescent="0.3">
      <c r="A216" s="1100"/>
      <c r="B216" s="1100"/>
      <c r="C216" s="1100"/>
      <c r="D216" s="1100"/>
      <c r="E216" s="1100"/>
      <c r="F216" s="1100"/>
      <c r="G216" s="1100"/>
      <c r="H216" s="1100"/>
      <c r="I216" s="1100"/>
    </row>
    <row r="217" spans="1:14" x14ac:dyDescent="0.3">
      <c r="A217" s="1100"/>
      <c r="B217" s="1100"/>
      <c r="C217" s="1100"/>
      <c r="D217" s="1100"/>
      <c r="E217" s="1100"/>
      <c r="F217" s="1100"/>
      <c r="G217" s="1100"/>
      <c r="H217" s="1100"/>
      <c r="I217" s="1100"/>
    </row>
    <row r="218" spans="1:14" x14ac:dyDescent="0.3">
      <c r="A218" s="1100"/>
      <c r="B218" s="1100"/>
      <c r="C218" s="1100"/>
      <c r="D218" s="1100"/>
      <c r="E218" s="1100"/>
      <c r="F218" s="1100"/>
      <c r="G218" s="1100"/>
      <c r="H218" s="1100"/>
      <c r="I218" s="1100"/>
    </row>
    <row r="219" spans="1:14" x14ac:dyDescent="0.3">
      <c r="A219" s="1100"/>
      <c r="B219" s="1100"/>
      <c r="C219" s="1100"/>
      <c r="D219" s="1100"/>
      <c r="E219" s="1100"/>
      <c r="F219" s="1100"/>
      <c r="G219" s="1100"/>
      <c r="H219" s="1100"/>
      <c r="I219" s="1100"/>
    </row>
    <row r="220" spans="1:14" x14ac:dyDescent="0.3">
      <c r="A220" s="1100"/>
      <c r="B220" s="1100"/>
      <c r="C220" s="1100"/>
      <c r="D220" s="1100"/>
      <c r="E220" s="1100"/>
      <c r="F220" s="1100"/>
      <c r="G220" s="1100"/>
      <c r="H220" s="1100"/>
      <c r="I220" s="1100"/>
    </row>
    <row r="221" spans="1:14" x14ac:dyDescent="0.3">
      <c r="A221" s="1100"/>
      <c r="B221" s="1100"/>
      <c r="C221" s="1100"/>
      <c r="D221" s="1100"/>
      <c r="E221" s="1100"/>
      <c r="F221" s="1100"/>
      <c r="G221" s="1100"/>
      <c r="H221" s="1100"/>
      <c r="I221" s="1100"/>
    </row>
    <row r="222" spans="1:14" x14ac:dyDescent="0.3">
      <c r="A222" s="1100"/>
      <c r="B222" s="1100"/>
      <c r="C222" s="1100"/>
      <c r="D222" s="1100"/>
      <c r="E222" s="1100"/>
      <c r="F222" s="1100"/>
      <c r="G222" s="1100"/>
      <c r="H222" s="1100"/>
      <c r="I222" s="1100"/>
    </row>
    <row r="223" spans="1:14" x14ac:dyDescent="0.3">
      <c r="A223" s="1100"/>
      <c r="B223" s="1100"/>
      <c r="C223" s="1100"/>
      <c r="D223" s="1100"/>
      <c r="E223" s="1100"/>
      <c r="F223" s="1100"/>
      <c r="G223" s="1100"/>
      <c r="H223" s="1100"/>
      <c r="I223" s="1100"/>
    </row>
    <row r="224" spans="1:14" x14ac:dyDescent="0.3">
      <c r="A224" s="1100"/>
      <c r="B224" s="1100"/>
      <c r="C224" s="1100"/>
      <c r="D224" s="1100"/>
      <c r="E224" s="1100"/>
      <c r="F224" s="1100"/>
      <c r="G224" s="1100"/>
      <c r="H224" s="1100"/>
      <c r="I224" s="1100"/>
    </row>
    <row r="225" spans="1:9" x14ac:dyDescent="0.3">
      <c r="A225" s="1100"/>
      <c r="B225" s="1100"/>
      <c r="C225" s="1100"/>
      <c r="D225" s="1100"/>
      <c r="E225" s="1100"/>
      <c r="F225" s="1100"/>
      <c r="G225" s="1100"/>
      <c r="H225" s="1100"/>
      <c r="I225" s="1100"/>
    </row>
    <row r="226" spans="1:9" x14ac:dyDescent="0.3">
      <c r="A226" s="1100"/>
      <c r="B226" s="1100"/>
      <c r="C226" s="1100"/>
      <c r="D226" s="1100"/>
      <c r="E226" s="1100"/>
      <c r="F226" s="1100"/>
      <c r="G226" s="1100"/>
      <c r="H226" s="1100"/>
      <c r="I226" s="1100"/>
    </row>
    <row r="227" spans="1:9" x14ac:dyDescent="0.3">
      <c r="A227" s="1100"/>
      <c r="B227" s="1100"/>
      <c r="C227" s="1100"/>
      <c r="D227" s="1100"/>
      <c r="E227" s="1100"/>
      <c r="F227" s="1100"/>
      <c r="G227" s="1100"/>
      <c r="H227" s="1100"/>
      <c r="I227" s="1100"/>
    </row>
    <row r="228" spans="1:9" x14ac:dyDescent="0.3">
      <c r="A228" s="1100"/>
      <c r="B228" s="1100"/>
      <c r="C228" s="1100"/>
      <c r="D228" s="1100"/>
      <c r="E228" s="1100"/>
      <c r="F228" s="1100"/>
      <c r="G228" s="1100"/>
      <c r="H228" s="1100"/>
      <c r="I228" s="1100"/>
    </row>
    <row r="229" spans="1:9" x14ac:dyDescent="0.3">
      <c r="A229" s="1100"/>
      <c r="B229" s="1100"/>
      <c r="C229" s="1100"/>
      <c r="D229" s="1100"/>
      <c r="E229" s="1100"/>
      <c r="F229" s="1100"/>
      <c r="G229" s="1100"/>
      <c r="H229" s="1100"/>
      <c r="I229" s="1100"/>
    </row>
    <row r="230" spans="1:9" x14ac:dyDescent="0.3">
      <c r="A230" s="1100"/>
      <c r="B230" s="1100"/>
      <c r="C230" s="1100"/>
      <c r="D230" s="1100"/>
      <c r="E230" s="1100"/>
      <c r="F230" s="1100"/>
      <c r="G230" s="1100"/>
      <c r="H230" s="1100"/>
      <c r="I230" s="1100"/>
    </row>
    <row r="231" spans="1:9" x14ac:dyDescent="0.3">
      <c r="A231" s="1100"/>
      <c r="B231" s="1100"/>
      <c r="C231" s="1100"/>
      <c r="D231" s="1100"/>
      <c r="E231" s="1100"/>
      <c r="F231" s="1100"/>
      <c r="G231" s="1100"/>
      <c r="H231" s="1100"/>
      <c r="I231" s="1100"/>
    </row>
    <row r="232" spans="1:9" x14ac:dyDescent="0.3">
      <c r="A232" s="1100"/>
      <c r="B232" s="1100"/>
      <c r="C232" s="1100"/>
      <c r="D232" s="1100"/>
      <c r="E232" s="1100"/>
      <c r="F232" s="1100"/>
      <c r="G232" s="1100"/>
      <c r="H232" s="1100"/>
      <c r="I232" s="1100"/>
    </row>
    <row r="233" spans="1:9" x14ac:dyDescent="0.3">
      <c r="A233" s="1100"/>
      <c r="B233" s="1100"/>
      <c r="C233" s="1100"/>
      <c r="D233" s="1100"/>
      <c r="E233" s="1100"/>
      <c r="F233" s="1100"/>
      <c r="G233" s="1100"/>
      <c r="H233" s="1100"/>
      <c r="I233" s="1100"/>
    </row>
    <row r="234" spans="1:9" x14ac:dyDescent="0.3">
      <c r="A234" s="1100"/>
      <c r="B234" s="1100"/>
      <c r="C234" s="1100"/>
      <c r="D234" s="1100"/>
      <c r="E234" s="1100"/>
      <c r="F234" s="1100"/>
      <c r="G234" s="1100"/>
      <c r="H234" s="1100"/>
      <c r="I234" s="1100"/>
    </row>
    <row r="235" spans="1:9" x14ac:dyDescent="0.3">
      <c r="A235" s="1100"/>
      <c r="B235" s="1100"/>
      <c r="C235" s="1100"/>
      <c r="D235" s="1100"/>
      <c r="E235" s="1100"/>
      <c r="F235" s="1100"/>
      <c r="G235" s="1100"/>
      <c r="H235" s="1100"/>
      <c r="I235" s="1100"/>
    </row>
    <row r="236" spans="1:9" x14ac:dyDescent="0.3">
      <c r="A236" s="1100"/>
      <c r="B236" s="1100"/>
      <c r="C236" s="1100"/>
      <c r="D236" s="1100"/>
      <c r="E236" s="1100"/>
      <c r="F236" s="1100"/>
      <c r="G236" s="1100"/>
      <c r="H236" s="1100"/>
      <c r="I236" s="1100"/>
    </row>
    <row r="237" spans="1:9" x14ac:dyDescent="0.3">
      <c r="A237" s="1100"/>
      <c r="B237" s="1100"/>
      <c r="C237" s="1100"/>
      <c r="D237" s="1100"/>
      <c r="E237" s="1100"/>
      <c r="F237" s="1100"/>
      <c r="G237" s="1100"/>
      <c r="H237" s="1100"/>
      <c r="I237" s="1100"/>
    </row>
    <row r="238" spans="1:9" x14ac:dyDescent="0.3">
      <c r="A238" s="1100"/>
      <c r="B238" s="1100"/>
      <c r="C238" s="1100"/>
      <c r="D238" s="1100"/>
      <c r="E238" s="1100"/>
      <c r="F238" s="1100"/>
      <c r="G238" s="1100"/>
      <c r="H238" s="1100"/>
      <c r="I238" s="1100"/>
    </row>
    <row r="239" spans="1:9" x14ac:dyDescent="0.3">
      <c r="A239" s="1100"/>
      <c r="B239" s="1100"/>
      <c r="C239" s="1100"/>
      <c r="D239" s="1100"/>
      <c r="E239" s="1100"/>
      <c r="F239" s="1100"/>
      <c r="G239" s="1100"/>
      <c r="H239" s="1100"/>
      <c r="I239" s="1100"/>
    </row>
    <row r="240" spans="1:9" x14ac:dyDescent="0.3">
      <c r="A240" s="1100"/>
      <c r="B240" s="1100"/>
      <c r="C240" s="1100"/>
      <c r="D240" s="1100"/>
      <c r="E240" s="1100"/>
      <c r="F240" s="1100"/>
      <c r="G240" s="1100"/>
      <c r="H240" s="1100"/>
      <c r="I240" s="1100"/>
    </row>
    <row r="241" spans="1:9" x14ac:dyDescent="0.3">
      <c r="A241" s="1100"/>
      <c r="B241" s="1100"/>
      <c r="C241" s="1100"/>
      <c r="D241" s="1100"/>
      <c r="E241" s="1100"/>
      <c r="F241" s="1100"/>
      <c r="G241" s="1100"/>
      <c r="H241" s="1100"/>
      <c r="I241" s="1100"/>
    </row>
    <row r="242" spans="1:9" x14ac:dyDescent="0.3">
      <c r="A242" s="1100"/>
      <c r="B242" s="1100"/>
      <c r="C242" s="1100"/>
      <c r="D242" s="1100"/>
      <c r="E242" s="1100"/>
      <c r="F242" s="1100"/>
      <c r="G242" s="1100"/>
      <c r="H242" s="1100"/>
      <c r="I242" s="1100"/>
    </row>
    <row r="243" spans="1:9" x14ac:dyDescent="0.3">
      <c r="A243" s="1100"/>
      <c r="B243" s="1100"/>
      <c r="C243" s="1100"/>
      <c r="D243" s="1100"/>
      <c r="E243" s="1100"/>
      <c r="F243" s="1100"/>
      <c r="G243" s="1100"/>
      <c r="H243" s="1100"/>
      <c r="I243" s="1100"/>
    </row>
    <row r="244" spans="1:9" x14ac:dyDescent="0.3">
      <c r="A244" s="1100"/>
      <c r="B244" s="1100"/>
      <c r="C244" s="1100"/>
      <c r="D244" s="1100"/>
      <c r="E244" s="1100"/>
      <c r="F244" s="1100"/>
      <c r="G244" s="1100"/>
      <c r="H244" s="1100"/>
      <c r="I244" s="1100"/>
    </row>
    <row r="245" spans="1:9" x14ac:dyDescent="0.3">
      <c r="A245" s="1100"/>
      <c r="B245" s="1100"/>
      <c r="C245" s="1100"/>
      <c r="D245" s="1100"/>
      <c r="E245" s="1100"/>
      <c r="F245" s="1100"/>
      <c r="G245" s="1100"/>
      <c r="H245" s="1100"/>
      <c r="I245" s="1100"/>
    </row>
    <row r="246" spans="1:9" x14ac:dyDescent="0.3">
      <c r="A246" s="1100"/>
      <c r="B246" s="1100"/>
      <c r="C246" s="1100"/>
      <c r="D246" s="1100"/>
      <c r="E246" s="1100"/>
      <c r="F246" s="1100"/>
      <c r="G246" s="1100"/>
      <c r="H246" s="1100"/>
      <c r="I246" s="1100"/>
    </row>
    <row r="247" spans="1:9" x14ac:dyDescent="0.3">
      <c r="A247" s="1100"/>
      <c r="B247" s="1100"/>
      <c r="C247" s="1100"/>
      <c r="D247" s="1100"/>
      <c r="E247" s="1100"/>
      <c r="F247" s="1100"/>
      <c r="G247" s="1100"/>
      <c r="H247" s="1100"/>
      <c r="I247" s="1100"/>
    </row>
    <row r="248" spans="1:9" x14ac:dyDescent="0.3">
      <c r="A248" s="1100"/>
      <c r="B248" s="1100"/>
      <c r="C248" s="1100"/>
      <c r="D248" s="1100"/>
      <c r="E248" s="1100"/>
      <c r="F248" s="1100"/>
      <c r="G248" s="1100"/>
      <c r="H248" s="1100"/>
      <c r="I248" s="1100"/>
    </row>
    <row r="249" spans="1:9" x14ac:dyDescent="0.3">
      <c r="A249" s="1100"/>
      <c r="B249" s="1100"/>
      <c r="C249" s="1100"/>
      <c r="D249" s="1100"/>
      <c r="E249" s="1100"/>
      <c r="F249" s="1100"/>
      <c r="G249" s="1100"/>
      <c r="H249" s="1100"/>
      <c r="I249" s="1100"/>
    </row>
    <row r="250" spans="1:9" x14ac:dyDescent="0.3">
      <c r="A250" s="1100"/>
      <c r="B250" s="1100"/>
      <c r="C250" s="1100"/>
      <c r="D250" s="1100"/>
      <c r="E250" s="1100"/>
      <c r="F250" s="1100"/>
      <c r="G250" s="1100"/>
      <c r="H250" s="1100"/>
      <c r="I250" s="1100"/>
    </row>
    <row r="251" spans="1:9" x14ac:dyDescent="0.3">
      <c r="A251" s="1100"/>
      <c r="B251" s="1100"/>
      <c r="C251" s="1100"/>
      <c r="D251" s="1100"/>
      <c r="E251" s="1100"/>
      <c r="F251" s="1100"/>
      <c r="G251" s="1100"/>
      <c r="H251" s="1100"/>
      <c r="I251" s="1100"/>
    </row>
    <row r="252" spans="1:9" x14ac:dyDescent="0.3">
      <c r="A252" s="1100"/>
      <c r="B252" s="1100"/>
      <c r="C252" s="1100"/>
      <c r="D252" s="1100"/>
      <c r="E252" s="1100"/>
      <c r="F252" s="1100"/>
      <c r="G252" s="1100"/>
      <c r="H252" s="1100"/>
      <c r="I252" s="1100"/>
    </row>
    <row r="253" spans="1:9" x14ac:dyDescent="0.3">
      <c r="A253" s="1100"/>
      <c r="B253" s="1100"/>
      <c r="C253" s="1100"/>
      <c r="D253" s="1100"/>
      <c r="E253" s="1100"/>
      <c r="F253" s="1100"/>
      <c r="G253" s="1100"/>
      <c r="H253" s="1100"/>
      <c r="I253" s="1100"/>
    </row>
    <row r="254" spans="1:9" x14ac:dyDescent="0.3">
      <c r="A254" s="1100"/>
      <c r="B254" s="1100"/>
      <c r="C254" s="1100"/>
      <c r="D254" s="1100"/>
      <c r="E254" s="1100"/>
      <c r="F254" s="1100"/>
      <c r="G254" s="1100"/>
      <c r="H254" s="1100"/>
      <c r="I254" s="1100"/>
    </row>
    <row r="255" spans="1:9" x14ac:dyDescent="0.3">
      <c r="A255" s="1100"/>
      <c r="B255" s="1100"/>
      <c r="C255" s="1100"/>
      <c r="D255" s="1100"/>
      <c r="E255" s="1100"/>
      <c r="F255" s="1100"/>
      <c r="G255" s="1100"/>
      <c r="H255" s="1100"/>
      <c r="I255" s="1100"/>
    </row>
    <row r="256" spans="1:9" x14ac:dyDescent="0.3">
      <c r="A256" s="1100"/>
      <c r="B256" s="1100"/>
      <c r="C256" s="1100"/>
      <c r="D256" s="1100"/>
      <c r="E256" s="1100"/>
      <c r="F256" s="1100"/>
      <c r="G256" s="1100"/>
      <c r="H256" s="1100"/>
      <c r="I256" s="1100"/>
    </row>
    <row r="257" spans="1:9" x14ac:dyDescent="0.3">
      <c r="A257" s="1100"/>
      <c r="B257" s="1100"/>
      <c r="C257" s="1100"/>
      <c r="D257" s="1100"/>
      <c r="E257" s="1100"/>
      <c r="F257" s="1100"/>
      <c r="G257" s="1100"/>
      <c r="H257" s="1100"/>
      <c r="I257" s="1100"/>
    </row>
    <row r="258" spans="1:9" x14ac:dyDescent="0.3">
      <c r="A258" s="1100"/>
      <c r="B258" s="1100"/>
      <c r="C258" s="1100"/>
      <c r="D258" s="1100"/>
      <c r="E258" s="1100"/>
      <c r="F258" s="1100"/>
      <c r="G258" s="1100"/>
      <c r="H258" s="1100"/>
      <c r="I258" s="1100"/>
    </row>
    <row r="259" spans="1:9" x14ac:dyDescent="0.3">
      <c r="A259" s="1100"/>
      <c r="B259" s="1100"/>
      <c r="C259" s="1100"/>
      <c r="D259" s="1100"/>
      <c r="E259" s="1100"/>
      <c r="F259" s="1100"/>
      <c r="G259" s="1100"/>
      <c r="H259" s="1100"/>
      <c r="I259" s="1100"/>
    </row>
    <row r="260" spans="1:9" x14ac:dyDescent="0.3">
      <c r="A260" s="1100"/>
      <c r="B260" s="1100"/>
      <c r="C260" s="1100"/>
      <c r="D260" s="1100"/>
      <c r="E260" s="1100"/>
      <c r="F260" s="1100"/>
      <c r="G260" s="1100"/>
      <c r="H260" s="1100"/>
      <c r="I260" s="1100"/>
    </row>
    <row r="261" spans="1:9" x14ac:dyDescent="0.3">
      <c r="A261" s="1100"/>
      <c r="B261" s="1100"/>
      <c r="C261" s="1100"/>
      <c r="D261" s="1100"/>
      <c r="E261" s="1100"/>
      <c r="F261" s="1100"/>
      <c r="G261" s="1100"/>
      <c r="H261" s="1100"/>
      <c r="I261" s="1100"/>
    </row>
    <row r="262" spans="1:9" x14ac:dyDescent="0.3">
      <c r="A262" s="1100"/>
      <c r="B262" s="1100"/>
      <c r="C262" s="1100"/>
      <c r="D262" s="1100"/>
      <c r="E262" s="1100"/>
      <c r="F262" s="1100"/>
      <c r="G262" s="1100"/>
      <c r="H262" s="1100"/>
      <c r="I262" s="1100"/>
    </row>
    <row r="263" spans="1:9" x14ac:dyDescent="0.3">
      <c r="A263" s="1100"/>
      <c r="B263" s="1100"/>
      <c r="C263" s="1100"/>
      <c r="D263" s="1100"/>
      <c r="E263" s="1100"/>
      <c r="F263" s="1100"/>
      <c r="G263" s="1100"/>
      <c r="H263" s="1100"/>
      <c r="I263" s="1100"/>
    </row>
    <row r="264" spans="1:9" x14ac:dyDescent="0.3">
      <c r="A264" s="1100"/>
      <c r="B264" s="1100"/>
      <c r="C264" s="1100"/>
      <c r="D264" s="1100"/>
      <c r="E264" s="1100"/>
      <c r="F264" s="1100"/>
      <c r="G264" s="1100"/>
      <c r="H264" s="1100"/>
      <c r="I264" s="1100"/>
    </row>
    <row r="265" spans="1:9" x14ac:dyDescent="0.3">
      <c r="A265" s="1100"/>
      <c r="B265" s="1100"/>
      <c r="C265" s="1100"/>
      <c r="D265" s="1100"/>
      <c r="E265" s="1100"/>
      <c r="F265" s="1100"/>
      <c r="G265" s="1100"/>
      <c r="H265" s="1100"/>
      <c r="I265" s="1100"/>
    </row>
    <row r="266" spans="1:9" x14ac:dyDescent="0.3">
      <c r="A266" s="1100"/>
      <c r="B266" s="1100"/>
      <c r="C266" s="1100"/>
      <c r="D266" s="1100"/>
      <c r="E266" s="1100"/>
      <c r="F266" s="1100"/>
      <c r="G266" s="1100"/>
      <c r="H266" s="1100"/>
      <c r="I266" s="1100"/>
    </row>
    <row r="267" spans="1:9" x14ac:dyDescent="0.3">
      <c r="A267" s="1100"/>
      <c r="B267" s="1100"/>
      <c r="C267" s="1100"/>
      <c r="D267" s="1100"/>
      <c r="E267" s="1100"/>
      <c r="F267" s="1100"/>
      <c r="G267" s="1100"/>
      <c r="H267" s="1100"/>
      <c r="I267" s="1100"/>
    </row>
    <row r="268" spans="1:9" x14ac:dyDescent="0.3">
      <c r="A268" s="1100"/>
      <c r="B268" s="1100"/>
      <c r="C268" s="1100"/>
      <c r="D268" s="1100"/>
      <c r="E268" s="1100"/>
      <c r="F268" s="1100"/>
      <c r="G268" s="1100"/>
      <c r="H268" s="1100"/>
      <c r="I268" s="1100"/>
    </row>
    <row r="269" spans="1:9" x14ac:dyDescent="0.3">
      <c r="A269" s="1100"/>
      <c r="B269" s="1100"/>
      <c r="C269" s="1100"/>
      <c r="D269" s="1100"/>
      <c r="E269" s="1100"/>
      <c r="F269" s="1100"/>
      <c r="G269" s="1100"/>
      <c r="H269" s="1100"/>
      <c r="I269" s="1100"/>
    </row>
    <row r="270" spans="1:9" x14ac:dyDescent="0.3">
      <c r="A270" s="1100"/>
      <c r="B270" s="1100"/>
      <c r="C270" s="1100"/>
      <c r="D270" s="1100"/>
      <c r="E270" s="1100"/>
      <c r="F270" s="1100"/>
      <c r="G270" s="1100"/>
      <c r="H270" s="1100"/>
      <c r="I270" s="1100"/>
    </row>
    <row r="271" spans="1:9" x14ac:dyDescent="0.3">
      <c r="A271" s="1100"/>
      <c r="B271" s="1100"/>
      <c r="C271" s="1100"/>
      <c r="D271" s="1100"/>
      <c r="E271" s="1100"/>
      <c r="F271" s="1100"/>
      <c r="G271" s="1100"/>
      <c r="H271" s="1100"/>
      <c r="I271" s="1100"/>
    </row>
    <row r="272" spans="1:9" x14ac:dyDescent="0.3">
      <c r="A272" s="1100"/>
      <c r="B272" s="1100"/>
      <c r="C272" s="1100"/>
      <c r="D272" s="1100"/>
      <c r="E272" s="1100"/>
      <c r="F272" s="1100"/>
      <c r="G272" s="1100"/>
      <c r="H272" s="1100"/>
      <c r="I272" s="1100"/>
    </row>
    <row r="273" spans="1:9" x14ac:dyDescent="0.3">
      <c r="A273" s="1100"/>
      <c r="B273" s="1100"/>
      <c r="C273" s="1100"/>
      <c r="D273" s="1100"/>
      <c r="E273" s="1100"/>
      <c r="F273" s="1100"/>
      <c r="G273" s="1100"/>
      <c r="H273" s="1100"/>
      <c r="I273" s="1100"/>
    </row>
    <row r="274" spans="1:9" x14ac:dyDescent="0.3">
      <c r="A274" s="1100"/>
      <c r="B274" s="1100"/>
      <c r="C274" s="1100"/>
      <c r="D274" s="1100"/>
      <c r="E274" s="1100"/>
      <c r="F274" s="1100"/>
      <c r="G274" s="1100"/>
      <c r="H274" s="1100"/>
      <c r="I274" s="1100"/>
    </row>
    <row r="275" spans="1:9" x14ac:dyDescent="0.3">
      <c r="A275" s="1100"/>
      <c r="B275" s="1100"/>
      <c r="C275" s="1100"/>
      <c r="D275" s="1100"/>
      <c r="E275" s="1100"/>
      <c r="F275" s="1100"/>
      <c r="G275" s="1100"/>
      <c r="H275" s="1100"/>
      <c r="I275" s="1100"/>
    </row>
    <row r="276" spans="1:9" x14ac:dyDescent="0.3">
      <c r="A276" s="1100"/>
      <c r="B276" s="1100"/>
      <c r="C276" s="1100"/>
      <c r="D276" s="1100"/>
      <c r="E276" s="1100"/>
      <c r="F276" s="1100"/>
      <c r="G276" s="1100"/>
      <c r="H276" s="1100"/>
      <c r="I276" s="1100"/>
    </row>
    <row r="277" spans="1:9" x14ac:dyDescent="0.3">
      <c r="A277" s="1100"/>
      <c r="B277" s="1100"/>
      <c r="C277" s="1100"/>
      <c r="D277" s="1100"/>
      <c r="E277" s="1100"/>
      <c r="F277" s="1100"/>
      <c r="G277" s="1100"/>
      <c r="H277" s="1100"/>
      <c r="I277" s="1100"/>
    </row>
    <row r="278" spans="1:9" x14ac:dyDescent="0.3">
      <c r="A278" s="1100"/>
      <c r="B278" s="1100"/>
      <c r="C278" s="1100"/>
      <c r="D278" s="1100"/>
      <c r="E278" s="1100"/>
      <c r="F278" s="1100"/>
      <c r="G278" s="1100"/>
      <c r="H278" s="1100"/>
      <c r="I278" s="1100"/>
    </row>
    <row r="279" spans="1:9" x14ac:dyDescent="0.3">
      <c r="A279" s="1100"/>
      <c r="B279" s="1100"/>
      <c r="C279" s="1100"/>
      <c r="D279" s="1100"/>
      <c r="E279" s="1100"/>
      <c r="F279" s="1100"/>
      <c r="G279" s="1100"/>
      <c r="H279" s="1100"/>
      <c r="I279" s="1100"/>
    </row>
    <row r="280" spans="1:9" x14ac:dyDescent="0.3">
      <c r="A280" s="1100"/>
      <c r="B280" s="1100"/>
      <c r="C280" s="1100"/>
      <c r="D280" s="1100"/>
      <c r="E280" s="1100"/>
      <c r="F280" s="1100"/>
      <c r="G280" s="1100"/>
      <c r="H280" s="1100"/>
      <c r="I280" s="1100"/>
    </row>
    <row r="281" spans="1:9" x14ac:dyDescent="0.3">
      <c r="A281" s="1100"/>
      <c r="B281" s="1100"/>
      <c r="C281" s="1100"/>
      <c r="D281" s="1100"/>
      <c r="E281" s="1100"/>
      <c r="F281" s="1100"/>
      <c r="G281" s="1100"/>
      <c r="H281" s="1100"/>
      <c r="I281" s="1100"/>
    </row>
    <row r="282" spans="1:9" x14ac:dyDescent="0.3">
      <c r="A282" s="1100"/>
      <c r="B282" s="1100"/>
      <c r="C282" s="1100"/>
      <c r="D282" s="1100"/>
      <c r="E282" s="1100"/>
      <c r="F282" s="1100"/>
      <c r="G282" s="1100"/>
      <c r="H282" s="1100"/>
      <c r="I282" s="1100"/>
    </row>
    <row r="283" spans="1:9" x14ac:dyDescent="0.3">
      <c r="A283" s="1100"/>
      <c r="B283" s="1100"/>
      <c r="C283" s="1100"/>
      <c r="D283" s="1100"/>
      <c r="E283" s="1100"/>
      <c r="F283" s="1100"/>
      <c r="G283" s="1100"/>
      <c r="H283" s="1100"/>
      <c r="I283" s="1100"/>
    </row>
  </sheetData>
  <hyperlinks>
    <hyperlink ref="F2" location="BOM!A1" display="Back to BOM"/>
    <hyperlink ref="B4" location="BR_A0001" display="BR_A0001"/>
    <hyperlink ref="E3" location="dSU_1500_001" display="Drawing"/>
  </hyperlinks>
  <pageMargins left="0.70866141732283472" right="0.70866141732283472" top="0.74803149606299213" bottom="0.74803149606299213" header="0.31496062992125984" footer="0.31496062992125984"/>
  <pageSetup paperSize="9" scale="49" fitToHeight="99" orientation="landscape" r:id="rId1"/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topLeftCell="A10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1"/>
    </row>
  </sheetData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5.33203125" customWidth="1"/>
    <col min="7" max="7" width="43.3320312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SU_13002_m+SU_13002_p</f>
        <v>0.26540753801370742</v>
      </c>
      <c r="O2" s="62"/>
    </row>
    <row r="3" spans="1:16" x14ac:dyDescent="0.3">
      <c r="A3" s="102" t="s">
        <v>3</v>
      </c>
      <c r="B3" s="16" t="str">
        <f>'SU A1300'!B3</f>
        <v>Suspension &amp; Shocks</v>
      </c>
      <c r="C3" s="56"/>
      <c r="D3" s="102" t="s">
        <v>6</v>
      </c>
      <c r="E3" s="281"/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6" x14ac:dyDescent="0.3">
      <c r="A4" s="102" t="s">
        <v>5</v>
      </c>
      <c r="B4" s="88" t="str">
        <f>'SU A1300'!B4</f>
        <v>Rear Pushrod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622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1.0616301520548297</v>
      </c>
      <c r="O5" s="62"/>
    </row>
    <row r="6" spans="1:16" x14ac:dyDescent="0.3">
      <c r="A6" s="102" t="s">
        <v>7</v>
      </c>
      <c r="B6" t="s">
        <v>623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122" t="s">
        <v>23</v>
      </c>
      <c r="G10" s="1122" t="s">
        <v>24</v>
      </c>
      <c r="H10" s="1122" t="s">
        <v>25</v>
      </c>
      <c r="I10" s="1122" t="s">
        <v>26</v>
      </c>
      <c r="J10" s="1122" t="s">
        <v>27</v>
      </c>
      <c r="K10" s="1122" t="s">
        <v>28</v>
      </c>
      <c r="L10" s="1122" t="s">
        <v>29</v>
      </c>
      <c r="M10" s="1122" t="s">
        <v>17</v>
      </c>
      <c r="N10" s="1122" t="s">
        <v>18</v>
      </c>
      <c r="O10" s="62"/>
    </row>
    <row r="11" spans="1:16" x14ac:dyDescent="0.3">
      <c r="A11" s="1123">
        <v>10</v>
      </c>
      <c r="B11" s="1124" t="s">
        <v>375</v>
      </c>
      <c r="C11" s="1125" t="s">
        <v>492</v>
      </c>
      <c r="D11" s="1126">
        <v>2.25</v>
      </c>
      <c r="E11" s="1127">
        <f>L11*J11*K11</f>
        <v>9.4700168949810731E-3</v>
      </c>
      <c r="F11" s="1125" t="s">
        <v>212</v>
      </c>
      <c r="G11" s="1125"/>
      <c r="H11" s="1128"/>
      <c r="I11" s="928" t="s">
        <v>491</v>
      </c>
      <c r="J11" s="979">
        <f>PI()*8*8/1000000</f>
        <v>2.0106192982974677E-4</v>
      </c>
      <c r="K11" s="979">
        <v>6.0000000000000001E-3</v>
      </c>
      <c r="L11" s="680">
        <v>7850</v>
      </c>
      <c r="M11" s="23">
        <v>1</v>
      </c>
      <c r="N11" s="283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1134">
        <v>10</v>
      </c>
      <c r="B15" s="1085" t="s">
        <v>418</v>
      </c>
      <c r="C15" s="1085"/>
      <c r="D15" s="1083">
        <v>1.3</v>
      </c>
      <c r="E15" s="1085" t="s">
        <v>35</v>
      </c>
      <c r="F15" s="1085">
        <v>1</v>
      </c>
      <c r="G15" s="1085" t="s">
        <v>603</v>
      </c>
      <c r="H15" s="1085">
        <f>1/8</f>
        <v>0.125</v>
      </c>
      <c r="I15" s="1083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34">
        <v>20</v>
      </c>
      <c r="B16" s="1085" t="s">
        <v>159</v>
      </c>
      <c r="C16" s="1085"/>
      <c r="D16" s="1083">
        <v>0.04</v>
      </c>
      <c r="E16" s="1085" t="s">
        <v>161</v>
      </c>
      <c r="F16" s="1085">
        <v>0.68</v>
      </c>
      <c r="G16" s="1085" t="s">
        <v>413</v>
      </c>
      <c r="H16" s="1085">
        <v>3</v>
      </c>
      <c r="I16" s="1083">
        <f>D16*F16*H16</f>
        <v>8.1600000000000006E-2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0.24410000000000001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2"/>
      <c r="B22" s="942"/>
      <c r="C22" s="942"/>
      <c r="D22" s="942"/>
      <c r="E22" s="942"/>
      <c r="F22" s="942"/>
      <c r="G22" s="942"/>
      <c r="H22" s="942"/>
      <c r="I22" s="942"/>
      <c r="J22" s="942"/>
      <c r="K22" s="942"/>
      <c r="L22" s="942"/>
      <c r="M22" s="942"/>
      <c r="N22" s="942"/>
      <c r="O22" s="942"/>
      <c r="P22" s="942"/>
    </row>
    <row r="23" spans="1:16" x14ac:dyDescent="0.3">
      <c r="A23" s="942"/>
      <c r="B23" s="947"/>
      <c r="C23" s="943"/>
      <c r="D23" s="943"/>
      <c r="E23" s="943"/>
      <c r="F23" s="943"/>
      <c r="G23" s="963"/>
      <c r="H23" s="943"/>
      <c r="I23" s="943"/>
      <c r="J23" s="943"/>
      <c r="K23" s="966"/>
      <c r="L23" s="946"/>
      <c r="M23" s="943"/>
      <c r="N23" s="947"/>
      <c r="O23" s="954"/>
      <c r="P23" s="942"/>
    </row>
    <row r="24" spans="1:16" x14ac:dyDescent="0.3">
      <c r="A24" s="942"/>
      <c r="B24" s="947"/>
      <c r="C24" s="943"/>
      <c r="D24" s="1135"/>
      <c r="E24" s="963"/>
      <c r="F24" s="943"/>
      <c r="G24" s="943"/>
      <c r="H24" s="943"/>
      <c r="I24" s="943"/>
      <c r="J24" s="943"/>
      <c r="K24" s="943"/>
      <c r="L24" s="943"/>
      <c r="M24" s="943"/>
      <c r="N24" s="947"/>
      <c r="O24" s="964"/>
      <c r="P24" s="942"/>
    </row>
    <row r="25" spans="1:16" x14ac:dyDescent="0.3">
      <c r="A25" s="942"/>
      <c r="B25" s="947"/>
      <c r="C25" s="963"/>
      <c r="D25" s="943"/>
      <c r="E25" s="947"/>
      <c r="F25" s="943"/>
      <c r="G25" s="943"/>
      <c r="H25" s="943"/>
      <c r="I25" s="943"/>
      <c r="J25" s="943"/>
      <c r="K25" s="947"/>
      <c r="L25" s="943"/>
      <c r="M25" s="943"/>
      <c r="N25" s="943"/>
      <c r="O25" s="1136"/>
      <c r="P25" s="942"/>
    </row>
    <row r="26" spans="1:16" x14ac:dyDescent="0.3">
      <c r="A26" s="942"/>
      <c r="B26" s="947"/>
      <c r="C26" s="962"/>
      <c r="D26" s="943"/>
      <c r="E26" s="947"/>
      <c r="F26" s="943"/>
      <c r="G26" s="943"/>
      <c r="H26" s="943"/>
      <c r="I26" s="943"/>
      <c r="J26" s="943"/>
      <c r="K26" s="947"/>
      <c r="L26" s="943"/>
      <c r="M26" s="943"/>
      <c r="N26" s="947"/>
      <c r="O26" s="954"/>
      <c r="P26" s="942"/>
    </row>
    <row r="27" spans="1:16" x14ac:dyDescent="0.3">
      <c r="A27" s="942"/>
      <c r="B27" s="947"/>
      <c r="C27" s="961"/>
      <c r="D27" s="943"/>
      <c r="E27" s="943"/>
      <c r="F27" s="943"/>
      <c r="G27" s="943"/>
      <c r="H27" s="943"/>
      <c r="I27" s="943"/>
      <c r="J27" s="943"/>
      <c r="K27" s="947"/>
      <c r="L27" s="943"/>
      <c r="M27" s="943"/>
      <c r="N27" s="943"/>
      <c r="O27" s="943"/>
      <c r="P27" s="942"/>
    </row>
    <row r="28" spans="1:16" x14ac:dyDescent="0.3">
      <c r="A28" s="942"/>
      <c r="B28" s="947"/>
      <c r="C28" s="943"/>
      <c r="D28" s="943"/>
      <c r="E28" s="943"/>
      <c r="F28" s="943"/>
      <c r="G28" s="943"/>
      <c r="H28" s="943"/>
      <c r="I28" s="943"/>
      <c r="J28" s="943"/>
      <c r="K28" s="943"/>
      <c r="L28" s="943"/>
      <c r="M28" s="943"/>
      <c r="N28" s="943"/>
      <c r="O28" s="943"/>
      <c r="P28" s="942"/>
    </row>
    <row r="29" spans="1:16" x14ac:dyDescent="0.3">
      <c r="A29" s="942"/>
      <c r="B29" s="947"/>
      <c r="C29" s="1136"/>
      <c r="D29" s="1136"/>
      <c r="E29" s="1136"/>
      <c r="F29" s="1136"/>
      <c r="G29" s="1136"/>
      <c r="H29" s="1136"/>
      <c r="I29" s="1136"/>
      <c r="J29" s="1136"/>
      <c r="K29" s="1136"/>
      <c r="L29" s="1136"/>
      <c r="M29" s="1136"/>
      <c r="N29" s="1136"/>
      <c r="O29" s="1136"/>
      <c r="P29" s="942"/>
    </row>
    <row r="30" spans="1:16" x14ac:dyDescent="0.3">
      <c r="A30" s="942"/>
      <c r="B30" s="942"/>
      <c r="C30" s="942"/>
      <c r="D30" s="942"/>
      <c r="E30" s="942"/>
      <c r="F30" s="942"/>
      <c r="G30" s="942"/>
      <c r="H30" s="942"/>
      <c r="I30" s="942"/>
      <c r="J30" s="942"/>
      <c r="K30" s="942"/>
      <c r="L30" s="942"/>
      <c r="M30" s="942"/>
      <c r="N30" s="942"/>
      <c r="O30" s="942"/>
      <c r="P30" s="942"/>
    </row>
    <row r="31" spans="1:16" x14ac:dyDescent="0.3">
      <c r="A31" s="942"/>
      <c r="B31" s="947"/>
      <c r="C31" s="947"/>
      <c r="D31" s="947"/>
      <c r="E31" s="947"/>
      <c r="F31" s="947"/>
      <c r="G31" s="947"/>
      <c r="H31" s="947"/>
      <c r="I31" s="947"/>
      <c r="J31" s="947"/>
      <c r="K31" s="947"/>
      <c r="L31" s="947"/>
      <c r="M31" s="947"/>
      <c r="N31" s="947"/>
      <c r="O31" s="947"/>
      <c r="P31" s="942"/>
    </row>
    <row r="32" spans="1:16" x14ac:dyDescent="0.3">
      <c r="A32" s="942"/>
      <c r="B32" s="943"/>
      <c r="C32" s="943"/>
      <c r="D32" s="943"/>
      <c r="E32" s="950"/>
      <c r="F32" s="960"/>
      <c r="G32" s="943"/>
      <c r="H32" s="943"/>
      <c r="I32" s="959"/>
      <c r="J32" s="958"/>
      <c r="K32" s="957"/>
      <c r="L32" s="956"/>
      <c r="M32" s="955"/>
      <c r="N32" s="955"/>
      <c r="O32" s="954"/>
      <c r="P32" s="942"/>
    </row>
    <row r="33" spans="1:16" x14ac:dyDescent="0.3">
      <c r="A33" s="942"/>
      <c r="B33" s="947"/>
      <c r="C33" s="947"/>
      <c r="D33" s="947"/>
      <c r="E33" s="947"/>
      <c r="F33" s="947"/>
      <c r="G33" s="947"/>
      <c r="H33" s="947"/>
      <c r="I33" s="947"/>
      <c r="J33" s="947"/>
      <c r="K33" s="947"/>
      <c r="L33" s="947"/>
      <c r="M33" s="947"/>
      <c r="N33" s="949"/>
      <c r="O33" s="948"/>
      <c r="P33" s="942"/>
    </row>
    <row r="34" spans="1:16" x14ac:dyDescent="0.3">
      <c r="A34" s="942"/>
      <c r="B34" s="942"/>
      <c r="C34" s="942"/>
      <c r="D34" s="942"/>
      <c r="E34" s="942"/>
      <c r="F34" s="942"/>
      <c r="G34" s="942"/>
      <c r="H34" s="942"/>
      <c r="I34" s="942"/>
      <c r="J34" s="942"/>
      <c r="K34" s="942"/>
      <c r="L34" s="942"/>
      <c r="M34" s="942"/>
      <c r="N34" s="942"/>
      <c r="O34" s="942"/>
      <c r="P34" s="942"/>
    </row>
    <row r="35" spans="1:16" x14ac:dyDescent="0.3">
      <c r="A35" s="942"/>
      <c r="B35" s="947"/>
      <c r="C35" s="947"/>
      <c r="D35" s="947"/>
      <c r="E35" s="947"/>
      <c r="F35" s="947"/>
      <c r="G35" s="947"/>
      <c r="H35" s="947"/>
      <c r="I35" s="947"/>
      <c r="J35" s="947"/>
      <c r="K35" s="947"/>
      <c r="L35" s="947"/>
      <c r="M35" s="947"/>
      <c r="N35" s="947"/>
      <c r="O35" s="947"/>
      <c r="P35" s="942"/>
    </row>
    <row r="36" spans="1:16" x14ac:dyDescent="0.3">
      <c r="A36" s="942"/>
      <c r="B36" s="943"/>
      <c r="C36" s="675"/>
      <c r="D36" s="953"/>
      <c r="E36" s="950"/>
      <c r="F36" s="943"/>
      <c r="G36" s="943"/>
      <c r="H36" s="951"/>
      <c r="I36" s="952"/>
      <c r="J36" s="950"/>
      <c r="K36" s="1136"/>
      <c r="L36" s="1136"/>
      <c r="M36" s="1136"/>
      <c r="N36" s="1136"/>
      <c r="O36" s="1136"/>
      <c r="P36" s="942"/>
    </row>
    <row r="37" spans="1:16" x14ac:dyDescent="0.3">
      <c r="A37" s="942"/>
      <c r="B37" s="943"/>
      <c r="C37" s="675"/>
      <c r="D37" s="953"/>
      <c r="E37" s="950"/>
      <c r="F37" s="943"/>
      <c r="G37" s="952"/>
      <c r="H37" s="951"/>
      <c r="I37" s="943"/>
      <c r="J37" s="950"/>
      <c r="K37" s="1136"/>
      <c r="L37" s="1136"/>
      <c r="M37" s="1136"/>
      <c r="N37" s="1136"/>
      <c r="O37" s="1136"/>
      <c r="P37" s="942"/>
    </row>
    <row r="38" spans="1:16" x14ac:dyDescent="0.3">
      <c r="A38" s="942"/>
      <c r="B38" s="947"/>
      <c r="C38" s="947"/>
      <c r="D38" s="947"/>
      <c r="E38" s="947"/>
      <c r="F38" s="947"/>
      <c r="G38" s="947"/>
      <c r="H38" s="947"/>
      <c r="I38" s="949"/>
      <c r="J38" s="948"/>
      <c r="K38" s="947"/>
      <c r="L38" s="947"/>
      <c r="M38" s="947"/>
      <c r="N38" s="947"/>
      <c r="O38" s="947"/>
      <c r="P38" s="942"/>
    </row>
    <row r="39" spans="1:16" x14ac:dyDescent="0.3">
      <c r="A39" s="942"/>
      <c r="B39" s="1136"/>
      <c r="C39" s="1136"/>
      <c r="D39" s="1136"/>
      <c r="E39" s="1136"/>
      <c r="F39" s="1136"/>
      <c r="G39" s="1136"/>
      <c r="H39" s="1136"/>
      <c r="I39" s="946"/>
      <c r="J39" s="945"/>
      <c r="K39" s="1136"/>
      <c r="L39" s="943"/>
      <c r="M39" s="943"/>
      <c r="N39" s="943"/>
      <c r="O39" s="943"/>
      <c r="P39" s="942"/>
    </row>
    <row r="40" spans="1:16" x14ac:dyDescent="0.3">
      <c r="B40" s="941"/>
      <c r="C40" s="941"/>
      <c r="D40" s="941"/>
      <c r="E40" s="941"/>
      <c r="F40" s="941"/>
      <c r="G40" s="941"/>
      <c r="H40" s="941"/>
      <c r="I40" s="941"/>
      <c r="J40" s="941"/>
      <c r="K40" s="941"/>
      <c r="L40" s="941"/>
      <c r="M40" s="941"/>
      <c r="N40" s="941"/>
      <c r="O40" s="941"/>
    </row>
  </sheetData>
  <hyperlinks>
    <hyperlink ref="B4" location="BR_A0001" display="BR_A0001"/>
  </hyperlinks>
  <pageMargins left="0.70866141732283472" right="0.70866141732283472" top="0.74803149606299213" bottom="0.74803149606299213" header="0.31496062992125984" footer="0.31496062992125984"/>
  <pageSetup paperSize="9" scale="47" fitToHeight="99" orientation="landscape" r:id="rId1"/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view="pageLayout" topLeftCell="A4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8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0866141732283472" right="0.70866141732283472" top="0.74803149606299213" bottom="0.74803149606299213" header="0.31496062992125984" footer="0.31496062992125984"/>
  <pageSetup paperSize="9" scale="89" fitToHeight="99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428" t="s">
        <v>37</v>
      </c>
      <c r="C2" s="411"/>
      <c r="D2" s="411"/>
      <c r="E2" s="411"/>
      <c r="F2" s="277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SU_01008_m+SU_01008_p</f>
        <v>1.3930602499999998</v>
      </c>
      <c r="O2" s="430"/>
    </row>
    <row r="3" spans="1:15" x14ac:dyDescent="0.3">
      <c r="A3" s="427" t="s">
        <v>3</v>
      </c>
      <c r="B3" s="428" t="str">
        <f>'SU A0100'!B3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431" t="str">
        <f>'SU A0100'!B4</f>
        <v>Upper Front A-arm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289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v>1.5188994999999998</v>
      </c>
      <c r="O5" s="430"/>
    </row>
    <row r="6" spans="1:15" x14ac:dyDescent="0.3">
      <c r="A6" s="427" t="s">
        <v>7</v>
      </c>
      <c r="B6" s="433" t="s">
        <v>285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5.3537000000000001E-2</v>
      </c>
      <c r="F11" s="439" t="s">
        <v>212</v>
      </c>
      <c r="G11" s="439"/>
      <c r="H11" s="440"/>
      <c r="I11" s="441" t="s">
        <v>280</v>
      </c>
      <c r="J11" s="442">
        <f>0.062*0.022</f>
        <v>1.364E-3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0.12045825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2.728E-3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2.7279999999999999E-2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0.14773825000000002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4.200000000000003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13.6</v>
      </c>
      <c r="G17" s="447"/>
      <c r="H17" s="450"/>
      <c r="I17" s="451">
        <f>IF(H17="",D17*F17,D17*F17*H17)</f>
        <v>0.13600000000000001</v>
      </c>
      <c r="J17" s="305"/>
      <c r="K17" s="411"/>
      <c r="L17" s="411"/>
      <c r="M17" s="411"/>
      <c r="N17" s="411"/>
      <c r="O17" s="430"/>
    </row>
    <row r="18" spans="1:15" ht="29.4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2.728E-3</v>
      </c>
      <c r="G20" s="447"/>
      <c r="H20" s="450"/>
      <c r="I20" s="458">
        <f>F20*D20</f>
        <v>1.4322E-2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1.2453219999999998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0866141732283472" right="0.70866141732283472" top="0.74803149606299213" bottom="0.74803149606299213" header="0.31496062992125984" footer="0.31496062992125984"/>
  <pageSetup paperSize="9" scale="70" fitToHeight="99" orientation="landscape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1" t="s">
        <v>285</v>
      </c>
    </row>
    <row r="5" spans="1:12" x14ac:dyDescent="0.3">
      <c r="L5" s="298"/>
    </row>
  </sheetData>
  <hyperlinks>
    <hyperlink ref="B1" location="SU_01008" display="SU_01008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311" t="s">
        <v>0</v>
      </c>
      <c r="B2" s="16" t="s">
        <v>37</v>
      </c>
      <c r="C2" s="269"/>
      <c r="D2" s="269"/>
      <c r="E2" s="269"/>
      <c r="F2" s="277" t="s">
        <v>126</v>
      </c>
      <c r="G2" s="269"/>
      <c r="H2" s="269"/>
      <c r="I2" s="269"/>
      <c r="J2" s="102" t="s">
        <v>1</v>
      </c>
      <c r="K2" s="273">
        <v>81</v>
      </c>
      <c r="L2" s="269"/>
      <c r="M2" s="297" t="s">
        <v>16</v>
      </c>
      <c r="N2" s="414">
        <f>SU_01009_m+SU_01009_p</f>
        <v>1.3590899374999998</v>
      </c>
      <c r="O2" s="270"/>
    </row>
    <row r="3" spans="1:15" x14ac:dyDescent="0.3">
      <c r="A3" s="311" t="s">
        <v>3</v>
      </c>
      <c r="B3" s="16" t="str">
        <f>'SU A0100'!B3</f>
        <v>Suspension &amp; Shocks</v>
      </c>
      <c r="C3" s="273"/>
      <c r="D3" s="344" t="s">
        <v>6</v>
      </c>
      <c r="E3" s="281" t="s">
        <v>86</v>
      </c>
      <c r="F3" s="269"/>
      <c r="G3" s="269"/>
      <c r="H3" s="269"/>
      <c r="I3" s="269"/>
      <c r="J3" s="269"/>
      <c r="K3" s="269"/>
      <c r="L3" s="269"/>
      <c r="M3" s="297" t="s">
        <v>4</v>
      </c>
      <c r="N3" s="274">
        <v>1</v>
      </c>
      <c r="O3" s="270"/>
    </row>
    <row r="4" spans="1:15" x14ac:dyDescent="0.3">
      <c r="A4" s="311" t="s">
        <v>5</v>
      </c>
      <c r="B4" s="88" t="str">
        <f>'SU A0100'!B4</f>
        <v>Upper Front A-arm</v>
      </c>
      <c r="C4" s="269"/>
      <c r="D4" s="344" t="s">
        <v>8</v>
      </c>
      <c r="E4" s="346"/>
      <c r="F4" s="269"/>
      <c r="G4" s="269"/>
      <c r="H4" s="269"/>
      <c r="I4" s="269"/>
      <c r="J4" s="102" t="s">
        <v>6</v>
      </c>
      <c r="K4" s="269"/>
      <c r="L4" s="269"/>
      <c r="M4" s="269"/>
      <c r="N4" s="269"/>
      <c r="O4" s="270"/>
    </row>
    <row r="5" spans="1:15" x14ac:dyDescent="0.3">
      <c r="A5" s="311" t="s">
        <v>15</v>
      </c>
      <c r="B5" s="72" t="s">
        <v>290</v>
      </c>
      <c r="C5" s="269"/>
      <c r="D5" s="344" t="s">
        <v>12</v>
      </c>
      <c r="E5" s="346"/>
      <c r="F5" s="269"/>
      <c r="G5" s="269"/>
      <c r="H5" s="269"/>
      <c r="I5" s="269"/>
      <c r="J5" s="102" t="s">
        <v>8</v>
      </c>
      <c r="K5" s="269"/>
      <c r="L5" s="269"/>
      <c r="M5" s="297" t="s">
        <v>9</v>
      </c>
      <c r="N5" s="271">
        <v>1.5188994999999998</v>
      </c>
      <c r="O5" s="270"/>
    </row>
    <row r="6" spans="1:15" x14ac:dyDescent="0.3">
      <c r="A6" s="311" t="s">
        <v>7</v>
      </c>
      <c r="B6" s="28" t="s">
        <v>286</v>
      </c>
      <c r="C6" s="269"/>
      <c r="D6" s="269"/>
      <c r="E6" s="269"/>
      <c r="F6" s="269"/>
      <c r="G6" s="269"/>
      <c r="H6" s="269"/>
      <c r="I6" s="269"/>
      <c r="J6" s="102" t="s">
        <v>12</v>
      </c>
      <c r="K6" s="269"/>
      <c r="L6" s="269"/>
      <c r="M6" s="269"/>
      <c r="N6" s="269"/>
      <c r="O6" s="270"/>
    </row>
    <row r="7" spans="1:15" x14ac:dyDescent="0.3">
      <c r="A7" s="311" t="s">
        <v>10</v>
      </c>
      <c r="B7" s="16" t="s">
        <v>11</v>
      </c>
      <c r="C7" s="269"/>
      <c r="D7" s="269"/>
      <c r="E7" s="269"/>
      <c r="F7" s="269"/>
      <c r="G7" s="269"/>
      <c r="H7" s="269"/>
      <c r="I7" s="269"/>
      <c r="J7" s="269"/>
      <c r="K7" s="269"/>
      <c r="L7" s="269"/>
      <c r="M7" s="269"/>
      <c r="N7" s="269"/>
      <c r="O7" s="270"/>
    </row>
    <row r="8" spans="1:15" x14ac:dyDescent="0.3">
      <c r="A8" s="311" t="s">
        <v>13</v>
      </c>
      <c r="B8" s="269" t="s">
        <v>277</v>
      </c>
      <c r="C8" s="269"/>
      <c r="D8" s="269"/>
      <c r="E8" s="269"/>
      <c r="F8" s="269"/>
      <c r="G8" s="269"/>
      <c r="H8" s="269"/>
      <c r="I8" s="269"/>
      <c r="J8" s="269"/>
      <c r="K8" s="269"/>
      <c r="L8" s="269"/>
      <c r="M8" s="269"/>
      <c r="N8" s="269"/>
      <c r="O8" s="270"/>
    </row>
    <row r="9" spans="1:15" x14ac:dyDescent="0.3">
      <c r="A9" s="285"/>
      <c r="B9" s="269"/>
      <c r="C9" s="269"/>
      <c r="D9" s="269"/>
      <c r="E9" s="269"/>
      <c r="F9" s="269"/>
      <c r="G9" s="269"/>
      <c r="H9" s="269"/>
      <c r="I9" s="269"/>
      <c r="J9" s="269"/>
      <c r="K9" s="269"/>
      <c r="L9" s="269"/>
      <c r="M9" s="269"/>
      <c r="N9" s="269"/>
      <c r="O9" s="270"/>
    </row>
    <row r="10" spans="1:15" x14ac:dyDescent="0.3">
      <c r="A10" s="312" t="s">
        <v>14</v>
      </c>
      <c r="B10" s="293" t="s">
        <v>19</v>
      </c>
      <c r="C10" s="293" t="s">
        <v>20</v>
      </c>
      <c r="D10" s="293" t="s">
        <v>21</v>
      </c>
      <c r="E10" s="293" t="s">
        <v>22</v>
      </c>
      <c r="F10" s="293" t="s">
        <v>23</v>
      </c>
      <c r="G10" s="293" t="s">
        <v>24</v>
      </c>
      <c r="H10" s="293" t="s">
        <v>25</v>
      </c>
      <c r="I10" s="293" t="s">
        <v>26</v>
      </c>
      <c r="J10" s="293" t="s">
        <v>27</v>
      </c>
      <c r="K10" s="293" t="s">
        <v>28</v>
      </c>
      <c r="L10" s="293" t="s">
        <v>29</v>
      </c>
      <c r="M10" s="293" t="s">
        <v>17</v>
      </c>
      <c r="N10" s="293" t="s">
        <v>18</v>
      </c>
      <c r="O10" s="270"/>
    </row>
    <row r="11" spans="1:15" ht="28.8" x14ac:dyDescent="0.3">
      <c r="A11" s="289">
        <v>10</v>
      </c>
      <c r="B11" s="313" t="s">
        <v>278</v>
      </c>
      <c r="C11" s="314" t="s">
        <v>279</v>
      </c>
      <c r="D11" s="299">
        <v>2.25</v>
      </c>
      <c r="E11" s="315">
        <f>J11*K11*L11</f>
        <v>5.2555749999999998E-2</v>
      </c>
      <c r="F11" s="316" t="s">
        <v>212</v>
      </c>
      <c r="G11" s="316"/>
      <c r="H11" s="317"/>
      <c r="I11" s="318" t="s">
        <v>280</v>
      </c>
      <c r="J11" s="319">
        <v>1.3389999999999999E-3</v>
      </c>
      <c r="K11" s="319">
        <v>5.0000000000000001E-3</v>
      </c>
      <c r="L11" s="320">
        <v>7850</v>
      </c>
      <c r="M11" s="320">
        <v>1</v>
      </c>
      <c r="N11" s="321">
        <f>IF(J11="",D11*M11,D11*J11*K11*L11*M11)</f>
        <v>0.1182504375</v>
      </c>
      <c r="O11" s="270"/>
    </row>
    <row r="12" spans="1:15" x14ac:dyDescent="0.3">
      <c r="A12" s="289">
        <v>20</v>
      </c>
      <c r="B12" s="313" t="s">
        <v>281</v>
      </c>
      <c r="C12" s="314"/>
      <c r="D12" s="322">
        <v>10</v>
      </c>
      <c r="E12" s="323">
        <f>2*J11</f>
        <v>2.6779999999999998E-3</v>
      </c>
      <c r="F12" s="324" t="s">
        <v>276</v>
      </c>
      <c r="G12" s="316"/>
      <c r="H12" s="317"/>
      <c r="I12" s="318"/>
      <c r="J12" s="319"/>
      <c r="K12" s="317"/>
      <c r="L12" s="320"/>
      <c r="M12" s="320"/>
      <c r="N12" s="321">
        <f>E12*D12</f>
        <v>2.6779999999999998E-2</v>
      </c>
      <c r="O12" s="270"/>
    </row>
    <row r="13" spans="1:15" x14ac:dyDescent="0.3">
      <c r="A13" s="286"/>
      <c r="B13" s="287"/>
      <c r="C13" s="287"/>
      <c r="D13" s="287"/>
      <c r="E13" s="287"/>
      <c r="F13" s="287"/>
      <c r="G13" s="287"/>
      <c r="H13" s="287"/>
      <c r="I13" s="287"/>
      <c r="J13" s="287"/>
      <c r="K13" s="287"/>
      <c r="L13" s="287"/>
      <c r="M13" s="295" t="s">
        <v>18</v>
      </c>
      <c r="N13" s="294">
        <f>SUM(N11:N12)</f>
        <v>0.1450304375</v>
      </c>
      <c r="O13" s="270"/>
    </row>
    <row r="14" spans="1:15" x14ac:dyDescent="0.3">
      <c r="A14" s="285"/>
      <c r="B14" s="269"/>
      <c r="C14" s="269"/>
      <c r="D14" s="269"/>
      <c r="E14" s="269"/>
      <c r="F14" s="269"/>
      <c r="G14" s="269"/>
      <c r="H14" s="269"/>
      <c r="I14" s="269"/>
      <c r="J14" s="269"/>
      <c r="K14" s="269"/>
      <c r="L14" s="269"/>
      <c r="M14" s="269"/>
      <c r="N14" s="269"/>
      <c r="O14" s="270"/>
    </row>
    <row r="15" spans="1:15" x14ac:dyDescent="0.3">
      <c r="A15" s="312" t="s">
        <v>14</v>
      </c>
      <c r="B15" s="293" t="s">
        <v>31</v>
      </c>
      <c r="C15" s="293" t="s">
        <v>20</v>
      </c>
      <c r="D15" s="293" t="s">
        <v>21</v>
      </c>
      <c r="E15" s="293" t="s">
        <v>32</v>
      </c>
      <c r="F15" s="293" t="s">
        <v>17</v>
      </c>
      <c r="G15" s="293" t="s">
        <v>33</v>
      </c>
      <c r="H15" s="293" t="s">
        <v>34</v>
      </c>
      <c r="I15" s="293" t="s">
        <v>18</v>
      </c>
      <c r="J15" s="287"/>
      <c r="K15" s="287"/>
      <c r="L15" s="287"/>
      <c r="M15" s="287"/>
      <c r="N15" s="287"/>
      <c r="O15" s="270"/>
    </row>
    <row r="16" spans="1:15" ht="41.4" customHeight="1" x14ac:dyDescent="0.3">
      <c r="A16" s="325">
        <v>10</v>
      </c>
      <c r="B16" s="304" t="s">
        <v>39</v>
      </c>
      <c r="C16" s="326" t="s">
        <v>282</v>
      </c>
      <c r="D16" s="327">
        <v>1.3</v>
      </c>
      <c r="E16" s="304" t="s">
        <v>32</v>
      </c>
      <c r="F16" s="305">
        <v>1</v>
      </c>
      <c r="G16" s="326" t="s">
        <v>294</v>
      </c>
      <c r="H16" s="328">
        <v>0.5</v>
      </c>
      <c r="I16" s="300">
        <f>H16*D16</f>
        <v>0.65</v>
      </c>
      <c r="J16" s="305"/>
      <c r="K16" s="269"/>
      <c r="L16" s="269"/>
      <c r="M16" s="269"/>
      <c r="N16" s="269"/>
      <c r="O16" s="270"/>
    </row>
    <row r="17" spans="1:15" x14ac:dyDescent="0.3">
      <c r="A17" s="329">
        <v>20</v>
      </c>
      <c r="B17" s="301" t="s">
        <v>283</v>
      </c>
      <c r="C17" s="302"/>
      <c r="D17" s="327">
        <v>0.01</v>
      </c>
      <c r="E17" s="301" t="s">
        <v>40</v>
      </c>
      <c r="F17" s="331">
        <v>13.8</v>
      </c>
      <c r="G17" s="304"/>
      <c r="H17" s="328"/>
      <c r="I17" s="300">
        <f>IF(H17="",D17*F17,D17*F17*H17)</f>
        <v>0.13800000000000001</v>
      </c>
      <c r="J17" s="305"/>
      <c r="K17" s="269"/>
      <c r="L17" s="269"/>
      <c r="M17" s="269"/>
      <c r="N17" s="269"/>
      <c r="O17" s="270"/>
    </row>
    <row r="18" spans="1:15" ht="43.2" x14ac:dyDescent="0.3">
      <c r="A18" s="325">
        <v>30</v>
      </c>
      <c r="B18" s="330" t="s">
        <v>39</v>
      </c>
      <c r="C18" s="303"/>
      <c r="D18" s="306">
        <v>0.65</v>
      </c>
      <c r="E18" s="303" t="s">
        <v>32</v>
      </c>
      <c r="F18" s="303">
        <v>1</v>
      </c>
      <c r="G18" s="326" t="s">
        <v>294</v>
      </c>
      <c r="H18" s="303">
        <v>0.5</v>
      </c>
      <c r="I18" s="307">
        <f t="shared" ref="I18:I19" si="0">IF(H18="",D18*F18,D18*F18*H18)</f>
        <v>0.32500000000000001</v>
      </c>
      <c r="J18" s="305"/>
      <c r="K18" s="269"/>
      <c r="L18" s="269"/>
      <c r="M18" s="269"/>
      <c r="N18" s="269"/>
      <c r="O18" s="270"/>
    </row>
    <row r="19" spans="1:15" x14ac:dyDescent="0.3">
      <c r="A19" s="329">
        <v>40</v>
      </c>
      <c r="B19" s="303" t="s">
        <v>159</v>
      </c>
      <c r="C19" s="303" t="s">
        <v>293</v>
      </c>
      <c r="D19" s="306">
        <v>2.9000000000000001E-2</v>
      </c>
      <c r="E19" s="303" t="s">
        <v>161</v>
      </c>
      <c r="F19" s="303">
        <v>1</v>
      </c>
      <c r="G19" s="303" t="s">
        <v>268</v>
      </c>
      <c r="H19" s="303">
        <v>3</v>
      </c>
      <c r="I19" s="307">
        <f t="shared" si="0"/>
        <v>8.7000000000000008E-2</v>
      </c>
      <c r="J19" s="308"/>
      <c r="K19" s="287"/>
      <c r="L19" s="287"/>
      <c r="M19" s="287"/>
      <c r="N19" s="287"/>
      <c r="O19" s="270"/>
    </row>
    <row r="20" spans="1:15" ht="28.8" x14ac:dyDescent="0.3">
      <c r="A20" s="325">
        <v>50</v>
      </c>
      <c r="B20" s="304" t="s">
        <v>233</v>
      </c>
      <c r="C20" s="302" t="s">
        <v>284</v>
      </c>
      <c r="D20" s="309">
        <v>5.25</v>
      </c>
      <c r="E20" s="304" t="s">
        <v>276</v>
      </c>
      <c r="F20" s="459">
        <f>2*J11</f>
        <v>2.6779999999999998E-3</v>
      </c>
      <c r="G20" s="304"/>
      <c r="H20" s="328"/>
      <c r="I20" s="307">
        <f>F20*D20</f>
        <v>1.4059499999999999E-2</v>
      </c>
      <c r="J20" s="310"/>
      <c r="K20" s="56"/>
      <c r="L20" s="56"/>
      <c r="M20" s="56"/>
      <c r="N20" s="56"/>
      <c r="O20" s="270"/>
    </row>
    <row r="21" spans="1:15" x14ac:dyDescent="0.3">
      <c r="A21" s="286"/>
      <c r="B21" s="287"/>
      <c r="C21" s="287"/>
      <c r="D21" s="287"/>
      <c r="E21" s="287"/>
      <c r="F21" s="287"/>
      <c r="G21" s="287"/>
      <c r="H21" s="295" t="s">
        <v>18</v>
      </c>
      <c r="I21" s="296">
        <f>SUM(I16:I20)</f>
        <v>1.2140594999999998</v>
      </c>
      <c r="J21" s="56"/>
      <c r="K21" s="56"/>
      <c r="L21" s="56"/>
      <c r="M21" s="56"/>
      <c r="N21" s="56"/>
      <c r="O21" s="270"/>
    </row>
    <row r="22" spans="1:15" ht="15" thickBot="1" x14ac:dyDescent="0.35">
      <c r="A22" s="290"/>
      <c r="B22" s="291"/>
      <c r="C22" s="291"/>
      <c r="D22" s="291"/>
      <c r="E22" s="291"/>
      <c r="F22" s="291"/>
      <c r="G22" s="291"/>
      <c r="H22" s="291"/>
      <c r="I22" s="291"/>
      <c r="J22" s="291"/>
      <c r="K22" s="291"/>
      <c r="L22" s="291"/>
      <c r="M22" s="291"/>
      <c r="N22" s="291"/>
      <c r="O22" s="292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0866141732283472" right="0.70866141732283472" top="0.74803149606299213" bottom="0.74803149606299213" header="0.31496062992125984" footer="0.31496062992125984"/>
  <pageSetup paperSize="9" scale="72" fitToHeight="99" orientation="landscape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1" t="s">
        <v>286</v>
      </c>
    </row>
  </sheetData>
  <hyperlinks>
    <hyperlink ref="B1" location="SU_01009" display="SU_01009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38"/>
  <sheetViews>
    <sheetView view="pageLayout" zoomScale="50" zoomScaleNormal="90" zoomScalePageLayoutView="50" workbookViewId="0">
      <selection activeCell="F6" sqref="F6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2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2.7861204999999996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2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2.7181798749999997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2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2.6286548750000001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2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2.6557837500000003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0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1"/>
      <c r="H27" s="122">
        <f t="shared" ref="H27:H30" si="12">SUM(J27:M27)</f>
        <v>1.3868720000000001</v>
      </c>
      <c r="I27" s="126">
        <f>SU_A0200_q*SU_02008_q</f>
        <v>2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2.7737440000000002</v>
      </c>
      <c r="O27" s="473"/>
    </row>
    <row r="28" spans="1:15" ht="14.4" x14ac:dyDescent="0.3">
      <c r="A28" s="470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2" t="str">
        <f>'SU 02009'!B5</f>
        <v>Front down bracket</v>
      </c>
      <c r="G28" s="471"/>
      <c r="H28" s="122">
        <f t="shared" si="12"/>
        <v>1.4357435000000001</v>
      </c>
      <c r="I28" s="126">
        <f>SU_A0200_q*SU_02009_q</f>
        <v>2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2.8714870000000001</v>
      </c>
      <c r="O28" s="473"/>
    </row>
    <row r="29" spans="1:15" ht="14.4" x14ac:dyDescent="0.3">
      <c r="A29" s="470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2" t="str">
        <f>'SU 02010'!B5</f>
        <v>Rear Up bracket</v>
      </c>
      <c r="G29" s="471"/>
      <c r="H29" s="122">
        <f t="shared" si="12"/>
        <v>1.3315549999999998</v>
      </c>
      <c r="I29" s="126">
        <f>SU_A0200_q*SU_02010_q</f>
        <v>2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2.6631099999999996</v>
      </c>
      <c r="O29" s="473"/>
    </row>
    <row r="30" spans="1:15" ht="14.4" x14ac:dyDescent="0.3">
      <c r="A30" s="470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2" t="str">
        <f>'SU 02011'!B5</f>
        <v>Rear down bracket</v>
      </c>
      <c r="G30" s="471"/>
      <c r="H30" s="122">
        <f t="shared" si="12"/>
        <v>1.41506025</v>
      </c>
      <c r="I30" s="126">
        <f>SU_A0200_q*SU_02011_q</f>
        <v>2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2.8301205</v>
      </c>
      <c r="O30" s="473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0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2" t="str">
        <f>'SU 03008'!$B$5</f>
        <v>Front up bracket</v>
      </c>
      <c r="G39" s="471"/>
      <c r="H39" s="122">
        <f t="shared" ref="H39:H50" si="17">SUM(J39:M39)</f>
        <v>1.4969516249999999</v>
      </c>
      <c r="I39" s="126">
        <f>SU_A0300_q*SU_03008_q</f>
        <v>2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2.9939032499999998</v>
      </c>
      <c r="O39" s="473"/>
    </row>
    <row r="40" spans="1:15" ht="14.4" x14ac:dyDescent="0.3">
      <c r="A40" s="470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2" t="str">
        <f>'SU 03009'!$B$5</f>
        <v>Front down bracket</v>
      </c>
      <c r="G40" s="471"/>
      <c r="H40" s="122">
        <f t="shared" si="17"/>
        <v>1.49211</v>
      </c>
      <c r="I40" s="126">
        <f>SU_A0300_q*SU_03009_q</f>
        <v>2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2.9842200000000001</v>
      </c>
      <c r="O40" s="473"/>
    </row>
    <row r="41" spans="1:15" ht="14.4" x14ac:dyDescent="0.3">
      <c r="A41" s="470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2" t="str">
        <f>'SU 03010'!$B$5</f>
        <v>Rear up bracket</v>
      </c>
      <c r="G41" s="471"/>
      <c r="H41" s="122">
        <f t="shared" si="17"/>
        <v>1.2680301249999999</v>
      </c>
      <c r="I41" s="126">
        <f>SU_A0300_q*SU_03010_q</f>
        <v>2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2.5360602499999998</v>
      </c>
      <c r="O41" s="473"/>
    </row>
    <row r="42" spans="1:15" ht="14.4" x14ac:dyDescent="0.3">
      <c r="A42" s="470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2" t="str">
        <f>'SU 03011'!$B$5</f>
        <v>Rear down bracket</v>
      </c>
      <c r="G42" s="471"/>
      <c r="H42" s="122">
        <f t="shared" si="17"/>
        <v>1.3787631249999999</v>
      </c>
      <c r="I42" s="126">
        <f>SU_A0300_q*SU_03011_q</f>
        <v>2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2.7575262499999997</v>
      </c>
      <c r="O42" s="473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2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17.908000000000001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4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13.341522176000002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2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24.066781199999994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2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14.815135439999997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10.6707430272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4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1.9087891072000001</v>
      </c>
      <c r="O50" s="125"/>
    </row>
    <row r="51" spans="1:15" ht="14.4" x14ac:dyDescent="0.3">
      <c r="A51" s="470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1"/>
      <c r="H51" s="122">
        <f t="shared" ref="H51:H56" si="20">SUM(J51:M51)</f>
        <v>1.3905750000000001</v>
      </c>
      <c r="I51" s="126">
        <f>SU_A0400_q*SU_04008_q</f>
        <v>2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7" si="21">H51*I51</f>
        <v>2.7811500000000002</v>
      </c>
      <c r="O51" s="473"/>
    </row>
    <row r="52" spans="1:15" ht="14.4" x14ac:dyDescent="0.3">
      <c r="A52" s="470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2" t="str">
        <f>'SU 04009'!$B$5</f>
        <v>Front down bracket</v>
      </c>
      <c r="G52" s="471"/>
      <c r="H52" s="122">
        <f t="shared" si="20"/>
        <v>1.3814265000000003</v>
      </c>
      <c r="I52" s="126">
        <f>SU_A0400_q*SU_04009_q</f>
        <v>2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2.7628530000000007</v>
      </c>
      <c r="O52" s="473"/>
    </row>
    <row r="53" spans="1:15" ht="14.4" x14ac:dyDescent="0.3">
      <c r="A53" s="470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2" t="str">
        <f>'SU 04010'!$B$5</f>
        <v>Rear up bracket</v>
      </c>
      <c r="G53" s="471"/>
      <c r="H53" s="122">
        <f t="shared" si="20"/>
        <v>1.8130709999999999</v>
      </c>
      <c r="I53" s="126">
        <f>SU_A0400_q*SU_04010_q</f>
        <v>2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3.6261419999999998</v>
      </c>
      <c r="O53" s="473"/>
    </row>
    <row r="54" spans="1:15" ht="14.4" x14ac:dyDescent="0.3">
      <c r="A54" s="470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2" t="str">
        <f>'SU 04011'!$B$5</f>
        <v>Rear down bracket</v>
      </c>
      <c r="G54" s="471"/>
      <c r="H54" s="122">
        <f t="shared" si="20"/>
        <v>1.9015070000000001</v>
      </c>
      <c r="I54" s="126">
        <f>SU_A0400_q*SU_04011_q</f>
        <v>2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3.8030140000000001</v>
      </c>
      <c r="O54" s="473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68" t="str">
        <f>'SU A0500'!B4</f>
        <v>Front suspension</v>
      </c>
      <c r="G55" s="114"/>
      <c r="H55" s="115">
        <f t="shared" si="20"/>
        <v>332.69722874847344</v>
      </c>
      <c r="I55" s="685">
        <f>SU_A0500_q</f>
        <v>2</v>
      </c>
      <c r="J55" s="116">
        <f>SU_A0500_m</f>
        <v>330.04</v>
      </c>
      <c r="K55" s="116">
        <f>SU_A0500_p</f>
        <v>2.12</v>
      </c>
      <c r="L55" s="116">
        <f>SU_A0500_f</f>
        <v>0.20389541514008255</v>
      </c>
      <c r="M55" s="116">
        <f>SU_A0500_t</f>
        <v>0.33333333333333331</v>
      </c>
      <c r="N55" s="117">
        <f t="shared" si="21"/>
        <v>665.39445749694687</v>
      </c>
      <c r="O55" s="118"/>
    </row>
    <row r="56" spans="1:15" ht="14.4" x14ac:dyDescent="0.3">
      <c r="A56" s="119"/>
      <c r="B56" s="119" t="s">
        <v>129</v>
      </c>
      <c r="C56" s="120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86">
        <f>SU_05001_q</f>
        <v>1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5.9234014172552163</v>
      </c>
      <c r="O56" s="125"/>
    </row>
    <row r="57" spans="1:15" ht="14.4" x14ac:dyDescent="0.3">
      <c r="A57" s="699"/>
      <c r="B57" s="112" t="s">
        <v>129</v>
      </c>
      <c r="C57" s="701" t="str">
        <f>SU_A0600</f>
        <v>SU A0600</v>
      </c>
      <c r="D57" s="701" t="s">
        <v>11</v>
      </c>
      <c r="E57" s="701"/>
      <c r="F57" s="702" t="str">
        <f>'SU A0600'!B4</f>
        <v>Front Bell Crank</v>
      </c>
      <c r="G57" s="701"/>
      <c r="H57" s="703">
        <f t="shared" ref="H57:H61" si="22">SUM(J57:M57)</f>
        <v>2.2678904435983189</v>
      </c>
      <c r="I57" s="704">
        <f>SU_A0600_q</f>
        <v>2</v>
      </c>
      <c r="J57" s="705">
        <f>SU_A0600_m</f>
        <v>0.09</v>
      </c>
      <c r="K57" s="705">
        <f>SU_A0600_p</f>
        <v>1.5945</v>
      </c>
      <c r="L57" s="705">
        <f>SU_A0600_f</f>
        <v>0.25005711026498539</v>
      </c>
      <c r="M57" s="705">
        <f>SU_A0600_t</f>
        <v>0.33333333333333331</v>
      </c>
      <c r="N57" s="706">
        <f t="shared" si="21"/>
        <v>4.5357808871966379</v>
      </c>
      <c r="O57" s="707"/>
    </row>
    <row r="58" spans="1:15" ht="14.4" x14ac:dyDescent="0.3">
      <c r="A58" s="470"/>
      <c r="B58" s="119" t="s">
        <v>129</v>
      </c>
      <c r="C58" s="120" t="str">
        <f>SU_06001</f>
        <v>SU 06001</v>
      </c>
      <c r="D58" s="471" t="s">
        <v>11</v>
      </c>
      <c r="E58" s="471" t="s">
        <v>384</v>
      </c>
      <c r="F58" s="472" t="s">
        <v>385</v>
      </c>
      <c r="G58" s="471"/>
      <c r="H58" s="709">
        <f t="shared" si="22"/>
        <v>1.3710986506763019</v>
      </c>
      <c r="I58" s="710">
        <f>SU_06001_q</f>
        <v>2</v>
      </c>
      <c r="J58" s="711">
        <f>SU_06001_m</f>
        <v>4.6098650676301943E-2</v>
      </c>
      <c r="K58" s="711">
        <f>SU_06001_p</f>
        <v>1.325</v>
      </c>
      <c r="L58" s="711">
        <v>0</v>
      </c>
      <c r="M58" s="711">
        <v>0</v>
      </c>
      <c r="N58" s="712">
        <f t="shared" si="21"/>
        <v>2.7421973013526038</v>
      </c>
      <c r="O58" s="473"/>
    </row>
    <row r="59" spans="1:15" ht="14.4" x14ac:dyDescent="0.3">
      <c r="A59" s="470"/>
      <c r="B59" s="708" t="str">
        <f>'SU A0600'!$B$3</f>
        <v>Suspension &amp; Shocks</v>
      </c>
      <c r="C59" s="120" t="str">
        <f>SU_06002</f>
        <v>SU 06002</v>
      </c>
      <c r="D59" s="471" t="s">
        <v>11</v>
      </c>
      <c r="E59" s="471" t="s">
        <v>384</v>
      </c>
      <c r="F59" s="472" t="s">
        <v>386</v>
      </c>
      <c r="G59" s="471"/>
      <c r="H59" s="709">
        <f t="shared" si="22"/>
        <v>1.5427786126391492</v>
      </c>
      <c r="I59" s="713">
        <f>SU_06002_q</f>
        <v>1</v>
      </c>
      <c r="J59" s="711">
        <f>SU_06002_m</f>
        <v>5.4378612639149136E-2</v>
      </c>
      <c r="K59" s="711">
        <f>SU_06002_p</f>
        <v>1.4883999999999999</v>
      </c>
      <c r="L59" s="711">
        <v>0</v>
      </c>
      <c r="M59" s="711">
        <v>0</v>
      </c>
      <c r="N59" s="712">
        <f t="shared" si="21"/>
        <v>1.5427786126391492</v>
      </c>
      <c r="O59" s="473"/>
    </row>
    <row r="60" spans="1:15" ht="14.4" x14ac:dyDescent="0.3">
      <c r="A60" s="470"/>
      <c r="B60" s="708" t="str">
        <f>'SU A0600'!$B$3</f>
        <v>Suspension &amp; Shocks</v>
      </c>
      <c r="C60" s="120" t="str">
        <f>SU_06003</f>
        <v>SU 06003</v>
      </c>
      <c r="D60" s="471" t="s">
        <v>11</v>
      </c>
      <c r="E60" s="471" t="s">
        <v>384</v>
      </c>
      <c r="F60" s="472" t="s">
        <v>387</v>
      </c>
      <c r="G60" s="471"/>
      <c r="H60" s="709">
        <f t="shared" si="22"/>
        <v>0.88140624999999995</v>
      </c>
      <c r="I60" s="713">
        <f>SU_06003_q</f>
        <v>2</v>
      </c>
      <c r="J60" s="711">
        <f>SU_06003_m</f>
        <v>0.39740625000000002</v>
      </c>
      <c r="K60" s="711">
        <f>SU_06003_p</f>
        <v>0.48399999999999999</v>
      </c>
      <c r="L60" s="711">
        <v>0</v>
      </c>
      <c r="M60" s="711">
        <v>0</v>
      </c>
      <c r="N60" s="712">
        <f t="shared" si="21"/>
        <v>1.7628124999999999</v>
      </c>
      <c r="O60" s="473"/>
    </row>
    <row r="61" spans="1:15" ht="14.4" x14ac:dyDescent="0.3">
      <c r="A61" s="470"/>
      <c r="B61" s="708" t="str">
        <f>'SU A0600'!$B$3</f>
        <v>Suspension &amp; Shocks</v>
      </c>
      <c r="C61" s="120" t="str">
        <f>SU_06004</f>
        <v>SU 06004</v>
      </c>
      <c r="D61" s="471" t="s">
        <v>11</v>
      </c>
      <c r="E61" s="471" t="s">
        <v>384</v>
      </c>
      <c r="F61" s="472" t="s">
        <v>388</v>
      </c>
      <c r="G61" s="471"/>
      <c r="H61" s="709">
        <f t="shared" si="22"/>
        <v>2.2702062500000002</v>
      </c>
      <c r="I61" s="713">
        <f>SU_06003_q</f>
        <v>2</v>
      </c>
      <c r="J61" s="711">
        <f>SU_06004_m</f>
        <v>0.11480624999999998</v>
      </c>
      <c r="K61" s="711">
        <f>SU_06004_p</f>
        <v>2.1554000000000002</v>
      </c>
      <c r="L61" s="711">
        <v>0</v>
      </c>
      <c r="M61" s="711">
        <v>0</v>
      </c>
      <c r="N61" s="712">
        <f t="shared" si="21"/>
        <v>4.5404125000000004</v>
      </c>
      <c r="O61" s="473"/>
    </row>
    <row r="62" spans="1:15" ht="14.4" x14ac:dyDescent="0.3">
      <c r="A62" s="699"/>
      <c r="B62" s="700" t="str">
        <f>'SU A0600'!$B$3</f>
        <v>Suspension &amp; Shocks</v>
      </c>
      <c r="C62" s="114" t="str">
        <f>SU_A0700</f>
        <v>SU A0700</v>
      </c>
      <c r="D62" s="701" t="s">
        <v>11</v>
      </c>
      <c r="E62" s="701"/>
      <c r="F62" s="702" t="str">
        <f>'SU A0700'!B4</f>
        <v>Rear suspension</v>
      </c>
      <c r="G62" s="701"/>
      <c r="H62" s="703">
        <f t="shared" ref="H62:H63" si="23">SUM(J62:M62)</f>
        <v>335.02112416361354</v>
      </c>
      <c r="I62" s="704">
        <f>SU_A0700_q</f>
        <v>2</v>
      </c>
      <c r="J62" s="705">
        <f>SU_A0700_m</f>
        <v>330.04</v>
      </c>
      <c r="K62" s="705">
        <f>SU_A0700_p</f>
        <v>4.24</v>
      </c>
      <c r="L62" s="705">
        <f>SU_A0700_f</f>
        <v>0.40779083028016511</v>
      </c>
      <c r="M62" s="705">
        <f>SU_A0700_t</f>
        <v>0.33333333333333331</v>
      </c>
      <c r="N62" s="706">
        <f t="shared" si="21"/>
        <v>670.04224832722707</v>
      </c>
      <c r="O62" s="707"/>
    </row>
    <row r="63" spans="1:15" ht="14.4" x14ac:dyDescent="0.3">
      <c r="A63" s="470"/>
      <c r="B63" s="708" t="str">
        <f>'SU A0600'!$B$3</f>
        <v>Suspension &amp; Shocks</v>
      </c>
      <c r="C63" s="788" t="str">
        <f>SU_07001</f>
        <v>SU 07001</v>
      </c>
      <c r="D63" s="471" t="s">
        <v>11</v>
      </c>
      <c r="E63" s="471" t="str">
        <f>F62</f>
        <v>Rear suspension</v>
      </c>
      <c r="F63" s="472" t="str">
        <f>'SU 07001'!B5</f>
        <v>Shock rear Bracket</v>
      </c>
      <c r="G63" s="471"/>
      <c r="H63" s="709">
        <f t="shared" si="23"/>
        <v>5.9234014172552163</v>
      </c>
      <c r="I63" s="710">
        <f>SU_07001_q</f>
        <v>1</v>
      </c>
      <c r="J63" s="711">
        <f>SU_07001_m</f>
        <v>0.38660141725521602</v>
      </c>
      <c r="K63" s="711">
        <f>SU_07001_p</f>
        <v>5.5368000000000004</v>
      </c>
      <c r="L63" s="711">
        <v>0</v>
      </c>
      <c r="M63" s="711">
        <v>0</v>
      </c>
      <c r="N63" s="712">
        <f t="shared" si="21"/>
        <v>5.9234014172552163</v>
      </c>
      <c r="O63" s="473"/>
    </row>
    <row r="64" spans="1:15" ht="14.4" x14ac:dyDescent="0.3">
      <c r="A64" s="112"/>
      <c r="B64" s="700" t="str">
        <f>'SU A0600'!$B$3</f>
        <v>Suspension &amp; Shocks</v>
      </c>
      <c r="C64" s="114" t="str">
        <f>SU_A0800</f>
        <v>SU A0800</v>
      </c>
      <c r="D64" s="114" t="s">
        <v>11</v>
      </c>
      <c r="E64" s="114"/>
      <c r="F64" s="268" t="s">
        <v>440</v>
      </c>
      <c r="G64" s="114"/>
      <c r="H64" s="115">
        <f t="shared" ref="H64:H67" si="24">SUM(J64:M64)</f>
        <v>4.8177252544509166</v>
      </c>
      <c r="I64" s="685">
        <f>SU_A0800_q</f>
        <v>2</v>
      </c>
      <c r="J64" s="116">
        <f>SU_A0800_m</f>
        <v>0.2</v>
      </c>
      <c r="K64" s="116">
        <f>SU_A0800_p</f>
        <v>3.5024999999999999</v>
      </c>
      <c r="L64" s="116">
        <f>SU_A0800_f</f>
        <v>0.11522525445091675</v>
      </c>
      <c r="M64" s="116">
        <f>SU_A0800_t</f>
        <v>1</v>
      </c>
      <c r="N64" s="117">
        <f t="shared" si="21"/>
        <v>9.6354505089018332</v>
      </c>
      <c r="O64" s="118"/>
    </row>
    <row r="65" spans="1:15" ht="14.4" x14ac:dyDescent="0.3">
      <c r="A65" s="119"/>
      <c r="B65" s="708" t="str">
        <f>'SU A0600'!$B$3</f>
        <v>Suspension &amp; Shocks</v>
      </c>
      <c r="C65" s="788" t="str">
        <f>SU_08001</f>
        <v>SU 08001</v>
      </c>
      <c r="D65" s="120" t="s">
        <v>11</v>
      </c>
      <c r="E65" s="120" t="str">
        <f>$F$64</f>
        <v>Rear Bell Cranck</v>
      </c>
      <c r="F65" s="121" t="s">
        <v>385</v>
      </c>
      <c r="G65" s="120"/>
      <c r="H65" s="122">
        <f t="shared" si="24"/>
        <v>1.3710986506763019</v>
      </c>
      <c r="I65" s="686">
        <f>SU_08001_q</f>
        <v>2</v>
      </c>
      <c r="J65" s="123">
        <f>SU_08001_m</f>
        <v>4.6098650676301943E-2</v>
      </c>
      <c r="K65" s="123">
        <f>SU_08001_p</f>
        <v>1.325</v>
      </c>
      <c r="L65" s="123">
        <v>0</v>
      </c>
      <c r="M65" s="123">
        <v>0</v>
      </c>
      <c r="N65" s="124">
        <f t="shared" si="21"/>
        <v>2.7421973013526038</v>
      </c>
      <c r="O65" s="125"/>
    </row>
    <row r="66" spans="1:15" ht="14.4" x14ac:dyDescent="0.3">
      <c r="A66" s="119"/>
      <c r="B66" s="792" t="str">
        <f>'SU A0800'!$B$3</f>
        <v>Suspension &amp; Shocks</v>
      </c>
      <c r="C66" s="788" t="str">
        <f>SU_08002</f>
        <v>SU 08002</v>
      </c>
      <c r="D66" s="120" t="s">
        <v>11</v>
      </c>
      <c r="E66" s="120" t="str">
        <f t="shared" ref="E66:E67" si="25">$F$64</f>
        <v>Rear Bell Cranck</v>
      </c>
      <c r="F66" s="121" t="s">
        <v>387</v>
      </c>
      <c r="G66" s="120"/>
      <c r="H66" s="122">
        <f t="shared" si="24"/>
        <v>2.0644187499999997</v>
      </c>
      <c r="I66" s="126">
        <f>SU_08002_q</f>
        <v>2</v>
      </c>
      <c r="J66" s="123">
        <f>SU_08002_m</f>
        <v>0.34441874999999994</v>
      </c>
      <c r="K66" s="123">
        <f>SU_08002_p</f>
        <v>1.72</v>
      </c>
      <c r="L66" s="123">
        <v>0</v>
      </c>
      <c r="M66" s="123">
        <v>0</v>
      </c>
      <c r="N66" s="124">
        <f t="shared" si="21"/>
        <v>4.1288374999999995</v>
      </c>
      <c r="O66" s="125"/>
    </row>
    <row r="67" spans="1:15" ht="14.4" x14ac:dyDescent="0.3">
      <c r="A67" s="119"/>
      <c r="B67" s="792" t="str">
        <f>'SU A0800'!$B$3</f>
        <v>Suspension &amp; Shocks</v>
      </c>
      <c r="C67" s="788" t="str">
        <f>SU_08003</f>
        <v>SU 08003</v>
      </c>
      <c r="D67" s="120" t="s">
        <v>11</v>
      </c>
      <c r="E67" s="120" t="str">
        <f t="shared" si="25"/>
        <v>Rear Bell Cranck</v>
      </c>
      <c r="F67" s="121" t="s">
        <v>441</v>
      </c>
      <c r="G67" s="120"/>
      <c r="H67" s="122">
        <f t="shared" si="24"/>
        <v>3.3779399999999997</v>
      </c>
      <c r="I67" s="126">
        <f>SU_08003_q</f>
        <v>1</v>
      </c>
      <c r="J67" s="123">
        <f>SU_08003_m</f>
        <v>0.81953999999999994</v>
      </c>
      <c r="K67" s="123">
        <f>SU_08003_p</f>
        <v>2.5583999999999998</v>
      </c>
      <c r="L67" s="123">
        <v>0</v>
      </c>
      <c r="M67" s="123">
        <v>0</v>
      </c>
      <c r="N67" s="124">
        <f t="shared" si="21"/>
        <v>3.3779399999999997</v>
      </c>
      <c r="O67" s="125"/>
    </row>
    <row r="68" spans="1:15" ht="14.4" x14ac:dyDescent="0.3">
      <c r="A68" s="112"/>
      <c r="B68" s="700" t="str">
        <f>'SU A0600'!$B$3</f>
        <v>Suspension &amp; Shocks</v>
      </c>
      <c r="C68" s="114" t="str">
        <f>SU_A0900</f>
        <v>SU A0900</v>
      </c>
      <c r="D68" s="114" t="s">
        <v>11</v>
      </c>
      <c r="E68" s="114"/>
      <c r="F68" s="268" t="str">
        <f>'SU A0900'!B4</f>
        <v>Front Pullrod</v>
      </c>
      <c r="G68" s="114"/>
      <c r="H68" s="115">
        <f t="shared" ref="H68:H71" si="26">SUM(J68:M68)</f>
        <v>13.655876325139229</v>
      </c>
      <c r="I68" s="685">
        <f>SU_A0900_q</f>
        <v>2</v>
      </c>
      <c r="J68" s="116">
        <f>SU_A0900_m</f>
        <v>5</v>
      </c>
      <c r="K68" s="116">
        <f>SU_A0900_p</f>
        <v>8.0960000000000001</v>
      </c>
      <c r="L68" s="116">
        <f>SU_A0900_f</f>
        <v>0.55987632513922869</v>
      </c>
      <c r="M68" s="116">
        <v>0</v>
      </c>
      <c r="N68" s="117">
        <f t="shared" ref="N68:N71" si="27">H68*I68</f>
        <v>27.311752650278457</v>
      </c>
      <c r="O68" s="118"/>
    </row>
    <row r="69" spans="1:15" ht="14.4" x14ac:dyDescent="0.3">
      <c r="A69" s="119"/>
      <c r="B69" s="708" t="str">
        <f>'SU A0600'!$B$3</f>
        <v>Suspension &amp; Shocks</v>
      </c>
      <c r="C69" s="788" t="str">
        <f>SU_09001</f>
        <v>SU 09001</v>
      </c>
      <c r="D69" s="120" t="s">
        <v>11</v>
      </c>
      <c r="E69" s="120" t="str">
        <f>$F$68</f>
        <v>Front Pullrod</v>
      </c>
      <c r="F69" s="121" t="str">
        <f>'SU 09001'!B5</f>
        <v>Tie rod tube</v>
      </c>
      <c r="G69" s="120"/>
      <c r="H69" s="122">
        <f t="shared" si="26"/>
        <v>9.0687098494115101</v>
      </c>
      <c r="I69" s="686">
        <f>SU_09001_q</f>
        <v>1</v>
      </c>
      <c r="J69" s="123">
        <f>SU_09001_m</f>
        <v>8.0610754216991207</v>
      </c>
      <c r="K69" s="123">
        <f>SU_09001_p</f>
        <v>1.0076344277123901</v>
      </c>
      <c r="L69" s="123">
        <v>0</v>
      </c>
      <c r="M69" s="123">
        <v>0</v>
      </c>
      <c r="N69" s="124">
        <f t="shared" si="27"/>
        <v>9.0687098494115101</v>
      </c>
      <c r="O69" s="125"/>
    </row>
    <row r="70" spans="1:15" ht="14.4" x14ac:dyDescent="0.3">
      <c r="A70" s="119"/>
      <c r="B70" s="792" t="str">
        <f>'SU A0800'!$B$3</f>
        <v>Suspension &amp; Shocks</v>
      </c>
      <c r="C70" s="788" t="str">
        <f>SU_09002</f>
        <v>SU 09002</v>
      </c>
      <c r="D70" s="120" t="s">
        <v>11</v>
      </c>
      <c r="E70" s="120" t="str">
        <f t="shared" ref="E70:E72" si="28">$F$68</f>
        <v>Front Pullrod</v>
      </c>
      <c r="F70" s="121" t="str">
        <f>'SU 09002'!B5</f>
        <v>Tie rod insert</v>
      </c>
      <c r="G70" s="120"/>
      <c r="H70" s="122">
        <f t="shared" si="26"/>
        <v>1.6908095579918243</v>
      </c>
      <c r="I70" s="126">
        <f>SU_09002_q</f>
        <v>2</v>
      </c>
      <c r="J70" s="123">
        <f>SU_09002_m</f>
        <v>0.15730955799182431</v>
      </c>
      <c r="K70" s="123">
        <f>SU_09002_p</f>
        <v>1.5335000000000001</v>
      </c>
      <c r="L70" s="123">
        <v>0</v>
      </c>
      <c r="M70" s="123">
        <v>0</v>
      </c>
      <c r="N70" s="124">
        <f t="shared" si="27"/>
        <v>3.3816191159836486</v>
      </c>
      <c r="O70" s="125"/>
    </row>
    <row r="71" spans="1:15" ht="14.4" x14ac:dyDescent="0.3">
      <c r="A71" s="119"/>
      <c r="B71" s="792" t="str">
        <f>'SU A0800'!$B$3</f>
        <v>Suspension &amp; Shocks</v>
      </c>
      <c r="C71" s="788" t="str">
        <f>SU_09003</f>
        <v>SU 09003</v>
      </c>
      <c r="D71" s="120" t="s">
        <v>11</v>
      </c>
      <c r="E71" s="120" t="str">
        <f t="shared" si="28"/>
        <v>Front Pullrod</v>
      </c>
      <c r="F71" s="1053" t="str">
        <f>'SU 09003'!B5</f>
        <v>Spacer 1</v>
      </c>
      <c r="G71" s="120"/>
      <c r="H71" s="122">
        <f t="shared" si="26"/>
        <v>0.75842010136988647</v>
      </c>
      <c r="I71" s="126">
        <f>SU_09003_q</f>
        <v>2</v>
      </c>
      <c r="J71" s="123">
        <f>SU_09003_m</f>
        <v>5.6820101369886439E-2</v>
      </c>
      <c r="K71" s="123">
        <f>SU_09003_p</f>
        <v>0.7016</v>
      </c>
      <c r="L71" s="123">
        <v>0</v>
      </c>
      <c r="M71" s="123">
        <v>0</v>
      </c>
      <c r="N71" s="124">
        <f t="shared" si="27"/>
        <v>1.5168402027397729</v>
      </c>
      <c r="O71" s="125"/>
    </row>
    <row r="72" spans="1:15" ht="14.4" x14ac:dyDescent="0.3">
      <c r="A72" s="119"/>
      <c r="B72" s="792" t="str">
        <f>'SU A0800'!$B$3</f>
        <v>Suspension &amp; Shocks</v>
      </c>
      <c r="C72" s="788" t="str">
        <f>SU_09004</f>
        <v>SU 09004</v>
      </c>
      <c r="D72" s="120" t="s">
        <v>11</v>
      </c>
      <c r="E72" s="120" t="str">
        <f t="shared" si="28"/>
        <v>Front Pullrod</v>
      </c>
      <c r="F72" s="1053" t="str">
        <f>'SU 09004'!B5</f>
        <v>Spacer 2</v>
      </c>
      <c r="G72" s="120"/>
      <c r="H72" s="122">
        <f t="shared" ref="H72:H76" si="29">SUM(J72:M72)</f>
        <v>0.85844020273977284</v>
      </c>
      <c r="I72" s="126">
        <f>SU_09004_q</f>
        <v>2</v>
      </c>
      <c r="J72" s="123">
        <f>SU_09004_m</f>
        <v>0.11364020273977288</v>
      </c>
      <c r="K72" s="123">
        <f>SU_09004_p</f>
        <v>0.74480000000000002</v>
      </c>
      <c r="L72" s="123">
        <v>0</v>
      </c>
      <c r="M72" s="123">
        <v>0</v>
      </c>
      <c r="N72" s="124">
        <f t="shared" ref="N72:N76" si="30">H72*I72</f>
        <v>1.7168804054795457</v>
      </c>
      <c r="O72" s="125"/>
    </row>
    <row r="73" spans="1:15" ht="14.4" x14ac:dyDescent="0.3">
      <c r="A73" s="112"/>
      <c r="B73" s="700" t="str">
        <f>'SU A0600'!$B$3</f>
        <v>Suspension &amp; Shocks</v>
      </c>
      <c r="C73" s="114" t="str">
        <f>SU_A1000</f>
        <v>SU A1000</v>
      </c>
      <c r="D73" s="114" t="s">
        <v>11</v>
      </c>
      <c r="E73" s="114"/>
      <c r="F73" s="268" t="str">
        <f>'SU A1000'!B4</f>
        <v>Front Uprights</v>
      </c>
      <c r="G73" s="114"/>
      <c r="H73" s="115">
        <f t="shared" si="29"/>
        <v>19.722085718251193</v>
      </c>
      <c r="I73" s="685">
        <f>SU_A1000_q</f>
        <v>2</v>
      </c>
      <c r="J73" s="116">
        <v>0</v>
      </c>
      <c r="K73" s="116">
        <f>SU_A1000_p</f>
        <v>15.46</v>
      </c>
      <c r="L73" s="116">
        <f>SU_A1000_f</f>
        <v>4.2620857182511926</v>
      </c>
      <c r="M73" s="116">
        <v>0</v>
      </c>
      <c r="N73" s="117">
        <f t="shared" si="30"/>
        <v>39.444171436502387</v>
      </c>
      <c r="O73" s="118"/>
    </row>
    <row r="74" spans="1:15" ht="14.4" x14ac:dyDescent="0.3">
      <c r="A74" s="119"/>
      <c r="B74" s="708" t="str">
        <f>'SU A0600'!$B$3</f>
        <v>Suspension &amp; Shocks</v>
      </c>
      <c r="C74" s="788" t="str">
        <f>SU_10001</f>
        <v>SU 10001</v>
      </c>
      <c r="D74" s="120" t="s">
        <v>11</v>
      </c>
      <c r="E74" s="120" t="str">
        <f>$F$73</f>
        <v>Front Uprights</v>
      </c>
      <c r="F74" s="121" t="str">
        <f>'SU 10001'!B5</f>
        <v>Front Upright</v>
      </c>
      <c r="G74" s="120"/>
      <c r="H74" s="122">
        <f t="shared" si="29"/>
        <v>99.563970000000012</v>
      </c>
      <c r="I74" s="686">
        <f>SU_10001_q</f>
        <v>1</v>
      </c>
      <c r="J74" s="123">
        <f>SU_10001_m</f>
        <v>25.84197</v>
      </c>
      <c r="K74" s="123">
        <f>SU_10001_p</f>
        <v>73.722000000000008</v>
      </c>
      <c r="L74" s="123">
        <v>0</v>
      </c>
      <c r="M74" s="123">
        <v>0</v>
      </c>
      <c r="N74" s="124">
        <f t="shared" si="30"/>
        <v>99.563970000000012</v>
      </c>
      <c r="O74" s="125"/>
    </row>
    <row r="75" spans="1:15" ht="14.4" x14ac:dyDescent="0.3">
      <c r="A75" s="119"/>
      <c r="B75" s="792" t="str">
        <f>'SU A0800'!$B$3</f>
        <v>Suspension &amp; Shocks</v>
      </c>
      <c r="C75" s="788" t="str">
        <f>SU_10002</f>
        <v>SU 10002</v>
      </c>
      <c r="D75" s="120" t="s">
        <v>11</v>
      </c>
      <c r="E75" s="120" t="str">
        <f t="shared" ref="E75:E77" si="31">$F$73</f>
        <v>Front Uprights</v>
      </c>
      <c r="F75" s="121" t="str">
        <f>'SU 10002'!B5</f>
        <v>Upper Arm Wedge</v>
      </c>
      <c r="G75" s="120"/>
      <c r="H75" s="122">
        <f t="shared" si="29"/>
        <v>2.5052785600000003</v>
      </c>
      <c r="I75" s="126">
        <f>SU_10002_q</f>
        <v>1</v>
      </c>
      <c r="J75" s="123">
        <f>SU_10002_m</f>
        <v>0.21527856000000004</v>
      </c>
      <c r="K75" s="123">
        <f>SU_10002_p</f>
        <v>2.29</v>
      </c>
      <c r="L75" s="123">
        <v>0</v>
      </c>
      <c r="M75" s="123">
        <v>0</v>
      </c>
      <c r="N75" s="124">
        <f t="shared" si="30"/>
        <v>2.5052785600000003</v>
      </c>
      <c r="O75" s="125"/>
    </row>
    <row r="76" spans="1:15" ht="14.4" x14ac:dyDescent="0.3">
      <c r="A76" s="119"/>
      <c r="B76" s="792" t="str">
        <f>'SU A0800'!$B$3</f>
        <v>Suspension &amp; Shocks</v>
      </c>
      <c r="C76" s="788" t="str">
        <f>SU_10003</f>
        <v>SU 10003</v>
      </c>
      <c r="D76" s="120" t="s">
        <v>11</v>
      </c>
      <c r="E76" s="120" t="str">
        <f t="shared" si="31"/>
        <v>Front Uprights</v>
      </c>
      <c r="F76" s="1054" t="str">
        <f>'SU 10003'!B5</f>
        <v>Upper Arm Bracket</v>
      </c>
      <c r="G76" s="120"/>
      <c r="H76" s="122">
        <f t="shared" si="29"/>
        <v>18.677843750000001</v>
      </c>
      <c r="I76" s="126">
        <f>SU_10003_q</f>
        <v>1</v>
      </c>
      <c r="J76" s="123">
        <f>SU_10003_m</f>
        <v>2.7818437500000002</v>
      </c>
      <c r="K76" s="123">
        <f>SU_10003_p</f>
        <v>15.896000000000001</v>
      </c>
      <c r="L76" s="123">
        <v>0</v>
      </c>
      <c r="M76" s="123">
        <v>0</v>
      </c>
      <c r="N76" s="124">
        <f t="shared" si="30"/>
        <v>18.677843750000001</v>
      </c>
      <c r="O76" s="125"/>
    </row>
    <row r="77" spans="1:15" ht="14.4" x14ac:dyDescent="0.3">
      <c r="A77" s="119"/>
      <c r="B77" s="792" t="str">
        <f>'SU A0800'!$B$3</f>
        <v>Suspension &amp; Shocks</v>
      </c>
      <c r="C77" s="788" t="str">
        <f>SU_10004</f>
        <v>SU 10004</v>
      </c>
      <c r="D77" s="120" t="s">
        <v>11</v>
      </c>
      <c r="E77" s="120" t="str">
        <f t="shared" si="31"/>
        <v>Front Uprights</v>
      </c>
      <c r="F77" s="1054" t="str">
        <f>'SU 10004'!B5</f>
        <v>Speed Sensor Bracket</v>
      </c>
      <c r="G77" s="120"/>
      <c r="H77" s="122">
        <f t="shared" ref="H77" si="32">SUM(J77:M77)</f>
        <v>0.83572750000000007</v>
      </c>
      <c r="I77" s="126">
        <f>SU_10004_q</f>
        <v>1</v>
      </c>
      <c r="J77" s="123">
        <f>SU_10004_m</f>
        <v>2.4727499999999999E-2</v>
      </c>
      <c r="K77" s="123">
        <f>SU_10004_p</f>
        <v>0.81100000000000005</v>
      </c>
      <c r="L77" s="123">
        <v>0</v>
      </c>
      <c r="M77" s="123">
        <v>0</v>
      </c>
      <c r="N77" s="124">
        <f t="shared" ref="N77" si="33">H77*I77</f>
        <v>0.83572750000000007</v>
      </c>
      <c r="O77" s="125"/>
    </row>
    <row r="78" spans="1:15" ht="14.4" x14ac:dyDescent="0.3">
      <c r="A78" s="119"/>
      <c r="B78" s="792" t="str">
        <f>'SU A0800'!$B$3</f>
        <v>Suspension &amp; Shocks</v>
      </c>
      <c r="C78" s="788" t="str">
        <f>SU_10005</f>
        <v>SU 10005</v>
      </c>
      <c r="D78" s="120" t="s">
        <v>11</v>
      </c>
      <c r="E78" s="120" t="str">
        <f>$F$73</f>
        <v>Front Uprights</v>
      </c>
      <c r="F78" s="1054" t="str">
        <f>'SU 10005'!B5</f>
        <v>Camber adjustment shim</v>
      </c>
      <c r="G78" s="120"/>
      <c r="H78" s="122">
        <f t="shared" ref="H78:H83" si="34">SUM(J78:M78)</f>
        <v>0.42691833333333334</v>
      </c>
      <c r="I78" s="126">
        <f>SU_10005_q</f>
        <v>15</v>
      </c>
      <c r="J78" s="123">
        <f>SU_10005_m</f>
        <v>6.3585000000000003E-2</v>
      </c>
      <c r="K78" s="123">
        <f>SU_10005_p</f>
        <v>0.36333333333333334</v>
      </c>
      <c r="L78" s="123">
        <v>0</v>
      </c>
      <c r="M78" s="123">
        <v>0</v>
      </c>
      <c r="N78" s="124">
        <f t="shared" ref="N78:N87" si="35">H78*I78</f>
        <v>6.4037750000000004</v>
      </c>
      <c r="O78" s="125"/>
    </row>
    <row r="79" spans="1:15" ht="14.4" x14ac:dyDescent="0.3">
      <c r="A79" s="112"/>
      <c r="B79" s="700" t="str">
        <f>'SU A0600'!$B$3</f>
        <v>Suspension &amp; Shocks</v>
      </c>
      <c r="C79" s="114" t="str">
        <f>SU_A1100</f>
        <v>SU A1100</v>
      </c>
      <c r="D79" s="114" t="s">
        <v>11</v>
      </c>
      <c r="E79" s="114"/>
      <c r="F79" s="268" t="str">
        <f>'SU A1100 '!B4</f>
        <v>Rear Uprights</v>
      </c>
      <c r="G79" s="114"/>
      <c r="H79" s="115">
        <f t="shared" si="34"/>
        <v>20.592085718251191</v>
      </c>
      <c r="I79" s="685">
        <f>SU_A1100_q</f>
        <v>2</v>
      </c>
      <c r="J79" s="116">
        <v>0</v>
      </c>
      <c r="K79" s="116">
        <f>SU_A1100_p</f>
        <v>16.329999999999998</v>
      </c>
      <c r="L79" s="116">
        <f>SU_A1100_f</f>
        <v>4.2620857182511926</v>
      </c>
      <c r="M79" s="116">
        <v>0</v>
      </c>
      <c r="N79" s="117">
        <f t="shared" si="35"/>
        <v>41.184171436502382</v>
      </c>
      <c r="O79" s="118"/>
    </row>
    <row r="80" spans="1:15" ht="14.4" x14ac:dyDescent="0.3">
      <c r="A80" s="119"/>
      <c r="B80" s="708" t="str">
        <f>'SU A0600'!$B$3</f>
        <v>Suspension &amp; Shocks</v>
      </c>
      <c r="C80" s="788" t="str">
        <f>SU_11001</f>
        <v>SU 11001</v>
      </c>
      <c r="D80" s="120" t="s">
        <v>11</v>
      </c>
      <c r="E80" s="120" t="str">
        <f>$F$79</f>
        <v>Rear Uprights</v>
      </c>
      <c r="F80" s="121" t="str">
        <f>'SU 11001'!B5</f>
        <v>Rear Upright</v>
      </c>
      <c r="G80" s="120"/>
      <c r="H80" s="122">
        <f t="shared" si="34"/>
        <v>106.51997000000001</v>
      </c>
      <c r="I80" s="686">
        <f>SU_11001_q</f>
        <v>1</v>
      </c>
      <c r="J80" s="123">
        <f>SU_11001_m</f>
        <v>25.84197</v>
      </c>
      <c r="K80" s="123">
        <f>SU_11001_p</f>
        <v>80.678000000000011</v>
      </c>
      <c r="L80" s="123">
        <v>0</v>
      </c>
      <c r="M80" s="123">
        <v>0</v>
      </c>
      <c r="N80" s="124">
        <f t="shared" si="35"/>
        <v>106.51997000000001</v>
      </c>
      <c r="O80" s="125"/>
    </row>
    <row r="81" spans="1:15" ht="14.4" x14ac:dyDescent="0.3">
      <c r="A81" s="119"/>
      <c r="B81" s="792" t="str">
        <f>'SU A0800'!$B$3</f>
        <v>Suspension &amp; Shocks</v>
      </c>
      <c r="C81" s="788" t="str">
        <f>SU_11002</f>
        <v>SU 11002</v>
      </c>
      <c r="D81" s="120" t="s">
        <v>11</v>
      </c>
      <c r="E81" s="120" t="str">
        <f t="shared" ref="E81:E83" si="36">$F$79</f>
        <v>Rear Uprights</v>
      </c>
      <c r="F81" s="121" t="str">
        <f>'SU 11002'!B5</f>
        <v>Upper Arm Bracket</v>
      </c>
      <c r="G81" s="120"/>
      <c r="H81" s="122">
        <f t="shared" si="34"/>
        <v>21.194420000000001</v>
      </c>
      <c r="I81" s="126">
        <f>SU_11002_q</f>
        <v>1</v>
      </c>
      <c r="J81" s="123">
        <f>SU_11002_m</f>
        <v>3.3064199999999997</v>
      </c>
      <c r="K81" s="123">
        <f>SU_11002_p</f>
        <v>17.888000000000002</v>
      </c>
      <c r="L81" s="123">
        <v>0</v>
      </c>
      <c r="M81" s="123">
        <v>0</v>
      </c>
      <c r="N81" s="124">
        <f t="shared" si="35"/>
        <v>21.194420000000001</v>
      </c>
      <c r="O81" s="125"/>
    </row>
    <row r="82" spans="1:15" ht="14.4" x14ac:dyDescent="0.3">
      <c r="A82" s="119"/>
      <c r="B82" s="792" t="str">
        <f>'SU A0800'!$B$3</f>
        <v>Suspension &amp; Shocks</v>
      </c>
      <c r="C82" s="788" t="str">
        <f>SU_11003</f>
        <v>SU 11003</v>
      </c>
      <c r="D82" s="120" t="s">
        <v>11</v>
      </c>
      <c r="E82" s="120" t="str">
        <f t="shared" si="36"/>
        <v>Rear Uprights</v>
      </c>
      <c r="F82" s="1054" t="str">
        <f>'SU 11003'!B5</f>
        <v>Speed Sensor Bracket</v>
      </c>
      <c r="G82" s="120"/>
      <c r="H82" s="122">
        <f t="shared" si="34"/>
        <v>0.82576020000000006</v>
      </c>
      <c r="I82" s="126">
        <f>SU_11003_q</f>
        <v>1</v>
      </c>
      <c r="J82" s="123">
        <f>SU_11003_m</f>
        <v>2.17602E-2</v>
      </c>
      <c r="K82" s="123">
        <f>SU_11003_p</f>
        <v>0.80400000000000005</v>
      </c>
      <c r="L82" s="123">
        <v>0</v>
      </c>
      <c r="M82" s="123">
        <v>0</v>
      </c>
      <c r="N82" s="124">
        <f t="shared" si="35"/>
        <v>0.82576020000000006</v>
      </c>
      <c r="O82" s="125"/>
    </row>
    <row r="83" spans="1:15" ht="14.4" x14ac:dyDescent="0.3">
      <c r="A83" s="119"/>
      <c r="B83" s="792" t="str">
        <f>'SU A0800'!$B$3</f>
        <v>Suspension &amp; Shocks</v>
      </c>
      <c r="C83" s="788" t="str">
        <f>SU_11004</f>
        <v>SU 11004</v>
      </c>
      <c r="D83" s="120" t="s">
        <v>11</v>
      </c>
      <c r="E83" s="120" t="str">
        <f t="shared" si="36"/>
        <v>Rear Uprights</v>
      </c>
      <c r="F83" s="1054" t="str">
        <f>'SU 11004'!B5</f>
        <v>Camber adjustment shim</v>
      </c>
      <c r="G83" s="120"/>
      <c r="H83" s="122">
        <f t="shared" si="34"/>
        <v>0.42454853333333331</v>
      </c>
      <c r="I83" s="126">
        <f>SU_11004_q</f>
        <v>15</v>
      </c>
      <c r="J83" s="123">
        <f>SU_11004_m</f>
        <v>7.1215199999999992E-2</v>
      </c>
      <c r="K83" s="123">
        <f>SU_11004_p</f>
        <v>0.35333333333333333</v>
      </c>
      <c r="L83" s="123">
        <v>0</v>
      </c>
      <c r="M83" s="123">
        <v>0</v>
      </c>
      <c r="N83" s="124">
        <f t="shared" si="35"/>
        <v>6.3682279999999993</v>
      </c>
      <c r="O83" s="125"/>
    </row>
    <row r="84" spans="1:15" ht="14.4" x14ac:dyDescent="0.3">
      <c r="A84" s="1151"/>
      <c r="B84" s="113" t="str">
        <f>'SU A0800'!$B$3</f>
        <v>Suspension &amp; Shocks</v>
      </c>
      <c r="C84" s="1152" t="str">
        <f>SU_A1200</f>
        <v>SU A1200</v>
      </c>
      <c r="D84" s="1152" t="s">
        <v>11</v>
      </c>
      <c r="E84" s="1152"/>
      <c r="F84" s="1153" t="str">
        <f>'SU A1200'!B4</f>
        <v>Front Pullrod</v>
      </c>
      <c r="G84" s="1152"/>
      <c r="H84" s="1154">
        <f t="shared" ref="H84:H87" si="37">SUM(J84:M84)</f>
        <v>13.655876325139229</v>
      </c>
      <c r="I84" s="1155">
        <f>SU_A1200_q</f>
        <v>2</v>
      </c>
      <c r="J84" s="1156">
        <f>SU_A1200_m</f>
        <v>5</v>
      </c>
      <c r="K84" s="1156">
        <f>SU_A1200_p</f>
        <v>8.0960000000000001</v>
      </c>
      <c r="L84" s="1156">
        <f>SU_A1200_f</f>
        <v>0.55987632513922869</v>
      </c>
      <c r="M84" s="1156">
        <v>0</v>
      </c>
      <c r="N84" s="1157">
        <f t="shared" si="35"/>
        <v>27.311752650278457</v>
      </c>
      <c r="O84" s="1158"/>
    </row>
    <row r="85" spans="1:15" ht="14.4" x14ac:dyDescent="0.3">
      <c r="A85" s="1159"/>
      <c r="B85" s="792" t="str">
        <f>'SU A0800'!$B$3</f>
        <v>Suspension &amp; Shocks</v>
      </c>
      <c r="C85" s="788" t="str">
        <f>SU_12001</f>
        <v>SU 12001</v>
      </c>
      <c r="D85" s="1160" t="s">
        <v>11</v>
      </c>
      <c r="E85" s="1160" t="str">
        <f>$F$84</f>
        <v>Front Pullrod</v>
      </c>
      <c r="F85" s="121" t="str">
        <f>'SU 12001'!B5</f>
        <v>Pullrod tube</v>
      </c>
      <c r="G85" s="1160"/>
      <c r="H85" s="1161">
        <f t="shared" si="37"/>
        <v>9.0687098494115101</v>
      </c>
      <c r="I85" s="1162">
        <f>SU_12001_q</f>
        <v>1</v>
      </c>
      <c r="J85" s="1163">
        <f>SU_12001_m</f>
        <v>8.0610754216991207</v>
      </c>
      <c r="K85" s="1163">
        <f>SU_12001_p</f>
        <v>1.0076344277123901</v>
      </c>
      <c r="L85" s="1163">
        <v>0</v>
      </c>
      <c r="M85" s="1163">
        <v>0</v>
      </c>
      <c r="N85" s="1164">
        <f t="shared" si="35"/>
        <v>9.0687098494115101</v>
      </c>
      <c r="O85" s="1165"/>
    </row>
    <row r="86" spans="1:15" ht="14.4" x14ac:dyDescent="0.3">
      <c r="A86" s="1159"/>
      <c r="B86" s="792" t="str">
        <f>'SU A0800'!$B$3</f>
        <v>Suspension &amp; Shocks</v>
      </c>
      <c r="C86" s="788" t="str">
        <f>SU_12002</f>
        <v>SU 12002</v>
      </c>
      <c r="D86" s="1160" t="s">
        <v>11</v>
      </c>
      <c r="E86" s="1160" t="str">
        <f t="shared" ref="E86:E87" si="38">$F$84</f>
        <v>Front Pullrod</v>
      </c>
      <c r="F86" s="121" t="str">
        <f>'SU 12002'!B5</f>
        <v>Pullrod insert</v>
      </c>
      <c r="G86" s="1160"/>
      <c r="H86" s="1161">
        <f t="shared" si="37"/>
        <v>1.6908095579918243</v>
      </c>
      <c r="I86" s="1166">
        <f>SU_12002_q</f>
        <v>2</v>
      </c>
      <c r="J86" s="1163">
        <f>SU_12002_m</f>
        <v>0.15730955799182428</v>
      </c>
      <c r="K86" s="1163">
        <f>SU_12002_p</f>
        <v>1.5335000000000001</v>
      </c>
      <c r="L86" s="1163">
        <v>0</v>
      </c>
      <c r="M86" s="1163">
        <v>0</v>
      </c>
      <c r="N86" s="1164">
        <f t="shared" si="35"/>
        <v>3.3816191159836486</v>
      </c>
      <c r="O86" s="1165"/>
    </row>
    <row r="87" spans="1:15" ht="14.4" x14ac:dyDescent="0.3">
      <c r="A87" s="1167"/>
      <c r="B87" s="792" t="str">
        <f>'SU A0800'!$B$3</f>
        <v>Suspension &amp; Shocks</v>
      </c>
      <c r="C87" s="788" t="str">
        <f>SU_12003</f>
        <v>SU 12003</v>
      </c>
      <c r="D87" s="266" t="s">
        <v>11</v>
      </c>
      <c r="E87" s="1160" t="str">
        <f t="shared" si="38"/>
        <v>Front Pullrod</v>
      </c>
      <c r="F87" s="1053" t="str">
        <f>'SU 12003'!B5</f>
        <v>Spacer 1</v>
      </c>
      <c r="G87" s="266"/>
      <c r="H87" s="1161">
        <f t="shared" si="37"/>
        <v>0.25585628167808949</v>
      </c>
      <c r="I87" s="1166">
        <f>SU_12003_q</f>
        <v>2</v>
      </c>
      <c r="J87" s="1163">
        <f>SU_12003_m</f>
        <v>1.7756281678089514E-2</v>
      </c>
      <c r="K87" s="1163">
        <f>SU_12003_p</f>
        <v>0.23810000000000001</v>
      </c>
      <c r="L87" s="1163">
        <v>0</v>
      </c>
      <c r="M87" s="1163">
        <v>0</v>
      </c>
      <c r="N87" s="1164">
        <f t="shared" si="35"/>
        <v>0.51171256335617898</v>
      </c>
      <c r="O87" s="267"/>
    </row>
    <row r="88" spans="1:15" ht="14.4" x14ac:dyDescent="0.3">
      <c r="A88" s="119"/>
      <c r="B88" s="792" t="str">
        <f>'SU A0800'!$B$3</f>
        <v>Suspension &amp; Shocks</v>
      </c>
      <c r="C88" s="788" t="str">
        <f>SU_12004</f>
        <v>SU 12004</v>
      </c>
      <c r="D88" s="266" t="s">
        <v>11</v>
      </c>
      <c r="E88" s="1160" t="str">
        <f>$F$84</f>
        <v>Front Pullrod</v>
      </c>
      <c r="F88" s="1053" t="str">
        <f>'SU 12004'!B5</f>
        <v>Spacer 2</v>
      </c>
      <c r="G88" s="120"/>
      <c r="H88" s="1161">
        <f t="shared" ref="H88" si="39">SUM(J88:M88)</f>
        <v>0.26540753801370742</v>
      </c>
      <c r="I88" s="1166">
        <f>SU_12004_q</f>
        <v>2</v>
      </c>
      <c r="J88" s="1163">
        <f>SU_12004_M</f>
        <v>2.1307538013707415E-2</v>
      </c>
      <c r="K88" s="1163">
        <f>SU_12004_P</f>
        <v>0.24410000000000001</v>
      </c>
      <c r="L88" s="1163">
        <v>0</v>
      </c>
      <c r="M88" s="1163">
        <v>0</v>
      </c>
      <c r="N88" s="1164">
        <f t="shared" ref="N88:N91" si="40">H88*I88</f>
        <v>0.53081507602741484</v>
      </c>
      <c r="O88" s="125"/>
    </row>
    <row r="89" spans="1:15" ht="14.4" x14ac:dyDescent="0.3">
      <c r="A89" s="112"/>
      <c r="B89" s="792" t="str">
        <f>'SU A0800'!$B$3</f>
        <v>Suspension &amp; Shocks</v>
      </c>
      <c r="C89" s="114" t="str">
        <f>SU_A1300</f>
        <v>SU A1300</v>
      </c>
      <c r="D89" s="114" t="s">
        <v>11</v>
      </c>
      <c r="E89" s="114"/>
      <c r="F89" s="268" t="str">
        <f>'SU A1300'!B4</f>
        <v>Rear Pushrod</v>
      </c>
      <c r="G89" s="114"/>
      <c r="H89" s="115">
        <f t="shared" ref="H89:H91" si="41">SUM(J89:M89)</f>
        <v>13.25987632513923</v>
      </c>
      <c r="I89" s="685">
        <f>SU_A1300_q</f>
        <v>2</v>
      </c>
      <c r="J89" s="116">
        <f>SU_A1300_m</f>
        <v>5</v>
      </c>
      <c r="K89" s="116">
        <f>SU_A1300_p</f>
        <v>7.7000000000000011</v>
      </c>
      <c r="L89" s="116">
        <f>SU_A1300_f</f>
        <v>0.55987632513922869</v>
      </c>
      <c r="M89" s="116">
        <v>0</v>
      </c>
      <c r="N89" s="117">
        <f t="shared" si="40"/>
        <v>26.519752650278459</v>
      </c>
      <c r="O89" s="118"/>
    </row>
    <row r="90" spans="1:15" ht="14.4" x14ac:dyDescent="0.3">
      <c r="A90" s="119"/>
      <c r="B90" s="792" t="str">
        <f>'SU A0800'!$B$3</f>
        <v>Suspension &amp; Shocks</v>
      </c>
      <c r="C90" s="788" t="str">
        <f>SU_13001</f>
        <v>SU 13001</v>
      </c>
      <c r="D90" s="120" t="s">
        <v>11</v>
      </c>
      <c r="E90" s="120" t="s">
        <v>607</v>
      </c>
      <c r="F90" s="121" t="str">
        <f>'SU 13001'!B5</f>
        <v>Steel cylinder for pushrod</v>
      </c>
      <c r="G90" s="120"/>
      <c r="H90" s="122">
        <f t="shared" si="41"/>
        <v>1.4513899941560895</v>
      </c>
      <c r="I90" s="686">
        <f>SU_13001_q</f>
        <v>1</v>
      </c>
      <c r="J90" s="123">
        <f>SU_13001_m</f>
        <v>0.10138999415608932</v>
      </c>
      <c r="K90" s="123">
        <f>SU_13001_p</f>
        <v>1.35</v>
      </c>
      <c r="L90" s="123">
        <v>0</v>
      </c>
      <c r="M90" s="123">
        <v>0</v>
      </c>
      <c r="N90" s="124">
        <f t="shared" si="40"/>
        <v>1.4513899941560895</v>
      </c>
      <c r="O90" s="125"/>
    </row>
    <row r="91" spans="1:15" ht="15" thickBot="1" x14ac:dyDescent="0.35">
      <c r="A91" s="119"/>
      <c r="B91" s="792" t="str">
        <f>'[2]SU A1300'!$B$3</f>
        <v>Suspension &amp; Shocks</v>
      </c>
      <c r="C91" s="788" t="str">
        <f>SU_13002</f>
        <v>SU 13002</v>
      </c>
      <c r="D91" s="120" t="s">
        <v>11</v>
      </c>
      <c r="E91" s="120" t="s">
        <v>607</v>
      </c>
      <c r="F91" s="1187" t="str">
        <f>'SU 13002'!B5</f>
        <v>Spacer</v>
      </c>
      <c r="G91" s="120"/>
      <c r="H91" s="122">
        <f t="shared" si="41"/>
        <v>0.26540753801370742</v>
      </c>
      <c r="I91" s="126">
        <f>SU_13002_q</f>
        <v>4</v>
      </c>
      <c r="J91" s="123">
        <f>SU_13002_m</f>
        <v>2.1307538013707415E-2</v>
      </c>
      <c r="K91" s="123">
        <f>SU_13002_p</f>
        <v>0.24410000000000001</v>
      </c>
      <c r="L91" s="123">
        <v>0</v>
      </c>
      <c r="M91" s="123">
        <v>0</v>
      </c>
      <c r="N91" s="124">
        <f t="shared" si="40"/>
        <v>1.0616301520548297</v>
      </c>
      <c r="O91" s="125"/>
    </row>
    <row r="92" spans="1:15" s="12" customFormat="1" ht="15" thickTop="1" thickBot="1" x14ac:dyDescent="0.3">
      <c r="A92" s="5"/>
      <c r="B92" s="41" t="str">
        <f>[1]SU_A0200!B3</f>
        <v>Suspension &amp; Shocks</v>
      </c>
      <c r="C92" s="1"/>
      <c r="D92" s="1"/>
      <c r="E92" s="1"/>
      <c r="F92" s="41" t="s">
        <v>59</v>
      </c>
      <c r="G92" s="1"/>
      <c r="H92" s="3"/>
      <c r="I92" s="4"/>
      <c r="J92" s="96">
        <f>SUMPRODUCT($I7:$I91,J7:J91)</f>
        <v>1778.0257105670344</v>
      </c>
      <c r="K92" s="96">
        <f>SUMPRODUCT($I7:$I91,K7:K91)</f>
        <v>745.75705821542499</v>
      </c>
      <c r="L92" s="96">
        <f>SUMPRODUCT($I7:$I91,L7:L91)</f>
        <v>28.616546797611115</v>
      </c>
      <c r="M92" s="96">
        <f>SUMPRODUCT($I7:$I91,M7:M91)</f>
        <v>14.666666666666664</v>
      </c>
      <c r="N92" s="96">
        <f>SUM(N7:N91)</f>
        <v>2567.0659822467355</v>
      </c>
      <c r="O92" s="2"/>
    </row>
    <row r="93" spans="1:15" ht="13.8" thickTop="1" x14ac:dyDescent="0.25">
      <c r="A93" s="11"/>
      <c r="B93" s="42"/>
      <c r="C93" s="13"/>
      <c r="D93" s="13"/>
      <c r="E93" s="13"/>
      <c r="F93" s="13"/>
      <c r="G93" s="13"/>
      <c r="H93" s="8"/>
      <c r="I93" s="13"/>
      <c r="J93" s="13"/>
      <c r="K93" s="13"/>
      <c r="L93" s="13"/>
      <c r="M93" s="13"/>
      <c r="N93" s="13"/>
    </row>
    <row r="94" spans="1:15" x14ac:dyDescent="0.25">
      <c r="A94" s="11"/>
      <c r="B94" s="42"/>
      <c r="C94" s="13"/>
      <c r="D94" s="13"/>
      <c r="E94" s="13"/>
      <c r="F94" s="13"/>
      <c r="G94" s="13"/>
      <c r="H94" s="8"/>
      <c r="I94" s="13"/>
      <c r="J94" s="13"/>
      <c r="K94" s="13"/>
      <c r="L94" s="13"/>
      <c r="M94" s="13"/>
      <c r="N94" s="13"/>
    </row>
    <row r="95" spans="1:15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45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5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45"/>
    </row>
    <row r="99" spans="1:14" x14ac:dyDescent="0.25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5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5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5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5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5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5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5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5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5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5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s="9" customFormat="1" x14ac:dyDescent="0.25">
      <c r="A123" s="7"/>
      <c r="B123" s="11"/>
      <c r="F123" s="42"/>
      <c r="I123" s="6"/>
      <c r="J123" s="6"/>
      <c r="K123" s="6"/>
      <c r="L123" s="6"/>
      <c r="M123" s="6"/>
    </row>
    <row r="124" spans="1:14" s="9" customFormat="1" x14ac:dyDescent="0.25">
      <c r="A124" s="7"/>
      <c r="B124" s="11"/>
      <c r="F124" s="42"/>
      <c r="I124" s="6"/>
      <c r="J124" s="6"/>
      <c r="K124" s="6"/>
      <c r="L124" s="6"/>
      <c r="M124" s="6"/>
    </row>
    <row r="125" spans="1:14" s="9" customFormat="1" x14ac:dyDescent="0.25">
      <c r="A125" s="7"/>
      <c r="B125" s="11"/>
      <c r="F125" s="42"/>
      <c r="I125" s="6"/>
      <c r="J125" s="6"/>
      <c r="K125" s="6"/>
      <c r="L125" s="6"/>
      <c r="M125" s="6"/>
    </row>
    <row r="126" spans="1:14" s="9" customFormat="1" x14ac:dyDescent="0.25">
      <c r="A126" s="7"/>
      <c r="B126" s="11"/>
      <c r="F126" s="42"/>
      <c r="I126" s="6"/>
      <c r="J126" s="6"/>
      <c r="K126" s="6"/>
      <c r="L126" s="6"/>
      <c r="M126" s="6"/>
    </row>
    <row r="127" spans="1:14" s="9" customFormat="1" x14ac:dyDescent="0.25">
      <c r="A127" s="7"/>
      <c r="B127" s="11"/>
      <c r="F127" s="42"/>
      <c r="I127" s="6"/>
      <c r="J127" s="6"/>
      <c r="K127" s="6"/>
      <c r="L127" s="6"/>
      <c r="M127" s="6"/>
    </row>
    <row r="128" spans="1:14" s="9" customFormat="1" x14ac:dyDescent="0.25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5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5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5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5">
      <c r="A132" s="7"/>
      <c r="B132" s="11"/>
      <c r="F132" s="42"/>
      <c r="I132" s="6"/>
      <c r="J132" s="6"/>
      <c r="K132" s="6"/>
      <c r="L132" s="6"/>
      <c r="M132" s="6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5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5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5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5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5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5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5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5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5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5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  <hyperlink ref="F80" location="SU_11001" display="SU_11001"/>
    <hyperlink ref="F81" location="SU_11002" display="SU_11002"/>
    <hyperlink ref="F79" location="SU_A1100" display="SU_A1100"/>
    <hyperlink ref="F82" location="SU_11003" display="SU_11003"/>
    <hyperlink ref="F83" location="SU_11004" display="SU_11004"/>
    <hyperlink ref="F84" location="SU_A1200" display="SU_A1200"/>
    <hyperlink ref="F85" location="SU_12001" display="SU_12001"/>
    <hyperlink ref="F86" location="SU_12002" display="SU_12002"/>
    <hyperlink ref="F87" location="SU_12003" display="SU_12003"/>
    <hyperlink ref="F88" location="SU_12004" display="SU_12004"/>
    <hyperlink ref="F89" location="SU_A1300" display="SU_A1300"/>
    <hyperlink ref="F90" location="SU_13001" display="SU_13001"/>
    <hyperlink ref="F91" location="SU_13002" display="SU_13002"/>
  </hyperlinks>
  <pageMargins left="0.70866141732283472" right="0.70866141732283472" top="0.74803149606299213" bottom="0.74803149606299213" header="0.31496062992125984" footer="0.31496062992125984"/>
  <pageSetup paperSize="9" scale="56" fitToHeight="99" orientation="landscape" r:id="rId1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311" t="s">
        <v>0</v>
      </c>
      <c r="B2" s="16" t="s">
        <v>37</v>
      </c>
      <c r="C2" s="269"/>
      <c r="D2" s="269"/>
      <c r="E2" s="269"/>
      <c r="F2" s="277" t="s">
        <v>126</v>
      </c>
      <c r="G2" s="269"/>
      <c r="H2" s="269"/>
      <c r="I2" s="269"/>
      <c r="J2" s="102" t="s">
        <v>1</v>
      </c>
      <c r="K2" s="273">
        <v>81</v>
      </c>
      <c r="L2" s="269"/>
      <c r="M2" s="297" t="s">
        <v>16</v>
      </c>
      <c r="N2" s="414">
        <f>SU_01010_m+SU_01010_p</f>
        <v>1.3143274375</v>
      </c>
      <c r="O2" s="270"/>
    </row>
    <row r="3" spans="1:15" x14ac:dyDescent="0.3">
      <c r="A3" s="311" t="s">
        <v>3</v>
      </c>
      <c r="B3" s="16" t="str">
        <f>'SU A0100'!B3</f>
        <v>Suspension &amp; Shocks</v>
      </c>
      <c r="C3" s="273"/>
      <c r="D3" s="344" t="s">
        <v>6</v>
      </c>
      <c r="E3" s="281" t="s">
        <v>86</v>
      </c>
      <c r="F3" s="269"/>
      <c r="G3" s="269"/>
      <c r="H3" s="269"/>
      <c r="I3" s="269"/>
      <c r="J3" s="269"/>
      <c r="K3" s="269"/>
      <c r="L3" s="269"/>
      <c r="M3" s="297" t="s">
        <v>4</v>
      </c>
      <c r="N3" s="274">
        <v>1</v>
      </c>
      <c r="O3" s="270"/>
    </row>
    <row r="4" spans="1:15" x14ac:dyDescent="0.3">
      <c r="A4" s="311" t="s">
        <v>5</v>
      </c>
      <c r="B4" s="88" t="str">
        <f>'SU A0100'!B4</f>
        <v>Upper Front A-arm</v>
      </c>
      <c r="C4" s="269"/>
      <c r="D4" s="344" t="s">
        <v>8</v>
      </c>
      <c r="E4" s="346"/>
      <c r="F4" s="269"/>
      <c r="G4" s="269"/>
      <c r="H4" s="269"/>
      <c r="I4" s="269"/>
      <c r="J4" s="102" t="s">
        <v>6</v>
      </c>
      <c r="K4" s="269"/>
      <c r="L4" s="269"/>
      <c r="M4" s="269"/>
      <c r="N4" s="269"/>
      <c r="O4" s="270"/>
    </row>
    <row r="5" spans="1:15" x14ac:dyDescent="0.3">
      <c r="A5" s="311" t="s">
        <v>15</v>
      </c>
      <c r="B5" s="72" t="s">
        <v>291</v>
      </c>
      <c r="C5" s="269"/>
      <c r="D5" s="344" t="s">
        <v>12</v>
      </c>
      <c r="E5" s="346"/>
      <c r="F5" s="269"/>
      <c r="G5" s="269"/>
      <c r="H5" s="269"/>
      <c r="I5" s="269"/>
      <c r="J5" s="102" t="s">
        <v>8</v>
      </c>
      <c r="K5" s="269"/>
      <c r="L5" s="269"/>
      <c r="M5" s="297" t="s">
        <v>9</v>
      </c>
      <c r="N5" s="271">
        <v>1.5188994999999998</v>
      </c>
      <c r="O5" s="270"/>
    </row>
    <row r="6" spans="1:15" x14ac:dyDescent="0.3">
      <c r="A6" s="311" t="s">
        <v>7</v>
      </c>
      <c r="B6" s="28" t="s">
        <v>287</v>
      </c>
      <c r="C6" s="269"/>
      <c r="D6" s="269"/>
      <c r="E6" s="269"/>
      <c r="F6" s="269"/>
      <c r="G6" s="269"/>
      <c r="H6" s="269"/>
      <c r="I6" s="269"/>
      <c r="J6" s="102" t="s">
        <v>12</v>
      </c>
      <c r="K6" s="269"/>
      <c r="L6" s="269"/>
      <c r="M6" s="269"/>
      <c r="N6" s="269"/>
      <c r="O6" s="270"/>
    </row>
    <row r="7" spans="1:15" x14ac:dyDescent="0.3">
      <c r="A7" s="311" t="s">
        <v>10</v>
      </c>
      <c r="B7" s="16" t="s">
        <v>11</v>
      </c>
      <c r="C7" s="269"/>
      <c r="D7" s="269"/>
      <c r="E7" s="269"/>
      <c r="F7" s="269"/>
      <c r="G7" s="269"/>
      <c r="H7" s="269"/>
      <c r="I7" s="269"/>
      <c r="J7" s="269"/>
      <c r="K7" s="269"/>
      <c r="L7" s="269"/>
      <c r="M7" s="269"/>
      <c r="N7" s="269"/>
      <c r="O7" s="270"/>
    </row>
    <row r="8" spans="1:15" x14ac:dyDescent="0.3">
      <c r="A8" s="311" t="s">
        <v>13</v>
      </c>
      <c r="B8" s="269" t="s">
        <v>277</v>
      </c>
      <c r="C8" s="269"/>
      <c r="D8" s="269"/>
      <c r="E8" s="269"/>
      <c r="F8" s="269"/>
      <c r="G8" s="269"/>
      <c r="H8" s="269"/>
      <c r="I8" s="269"/>
      <c r="J8" s="269"/>
      <c r="K8" s="269"/>
      <c r="L8" s="269"/>
      <c r="M8" s="269"/>
      <c r="N8" s="269"/>
      <c r="O8" s="270"/>
    </row>
    <row r="9" spans="1:15" x14ac:dyDescent="0.3">
      <c r="A9" s="285"/>
      <c r="B9" s="269"/>
      <c r="C9" s="269"/>
      <c r="D9" s="269"/>
      <c r="E9" s="269"/>
      <c r="F9" s="269"/>
      <c r="G9" s="269"/>
      <c r="H9" s="269"/>
      <c r="I9" s="269"/>
      <c r="J9" s="269"/>
      <c r="K9" s="269"/>
      <c r="L9" s="269"/>
      <c r="M9" s="269"/>
      <c r="N9" s="269"/>
      <c r="O9" s="270"/>
    </row>
    <row r="10" spans="1:15" x14ac:dyDescent="0.3">
      <c r="A10" s="312" t="s">
        <v>14</v>
      </c>
      <c r="B10" s="293" t="s">
        <v>19</v>
      </c>
      <c r="C10" s="293" t="s">
        <v>20</v>
      </c>
      <c r="D10" s="293" t="s">
        <v>21</v>
      </c>
      <c r="E10" s="293" t="s">
        <v>22</v>
      </c>
      <c r="F10" s="293" t="s">
        <v>23</v>
      </c>
      <c r="G10" s="293" t="s">
        <v>24</v>
      </c>
      <c r="H10" s="293" t="s">
        <v>25</v>
      </c>
      <c r="I10" s="293" t="s">
        <v>26</v>
      </c>
      <c r="J10" s="293" t="s">
        <v>27</v>
      </c>
      <c r="K10" s="293" t="s">
        <v>28</v>
      </c>
      <c r="L10" s="293" t="s">
        <v>29</v>
      </c>
      <c r="M10" s="293" t="s">
        <v>17</v>
      </c>
      <c r="N10" s="293" t="s">
        <v>18</v>
      </c>
      <c r="O10" s="270"/>
    </row>
    <row r="11" spans="1:15" ht="28.8" x14ac:dyDescent="0.3">
      <c r="A11" s="289">
        <v>10</v>
      </c>
      <c r="B11" s="313" t="s">
        <v>278</v>
      </c>
      <c r="C11" s="314" t="s">
        <v>279</v>
      </c>
      <c r="D11" s="299">
        <v>2.25</v>
      </c>
      <c r="E11" s="315">
        <f>J11*K11*L11</f>
        <v>4.4705750000000002E-2</v>
      </c>
      <c r="F11" s="316" t="s">
        <v>212</v>
      </c>
      <c r="G11" s="316"/>
      <c r="H11" s="317"/>
      <c r="I11" s="318" t="s">
        <v>280</v>
      </c>
      <c r="J11" s="319">
        <v>1.139E-3</v>
      </c>
      <c r="K11" s="319">
        <v>5.0000000000000001E-3</v>
      </c>
      <c r="L11" s="320">
        <v>7850</v>
      </c>
      <c r="M11" s="320">
        <v>1</v>
      </c>
      <c r="N11" s="321">
        <f>IF(J11="",D11*M11,D11*J11*K11*L11*M11)</f>
        <v>0.10058793749999999</v>
      </c>
      <c r="O11" s="270"/>
    </row>
    <row r="12" spans="1:15" x14ac:dyDescent="0.3">
      <c r="A12" s="289">
        <v>20</v>
      </c>
      <c r="B12" s="313" t="s">
        <v>281</v>
      </c>
      <c r="C12" s="314"/>
      <c r="D12" s="322">
        <v>10</v>
      </c>
      <c r="E12" s="323">
        <f>2*J11</f>
        <v>2.2780000000000001E-3</v>
      </c>
      <c r="F12" s="324" t="s">
        <v>276</v>
      </c>
      <c r="G12" s="316"/>
      <c r="H12" s="317"/>
      <c r="I12" s="318"/>
      <c r="J12" s="319"/>
      <c r="K12" s="317"/>
      <c r="L12" s="320"/>
      <c r="M12" s="320"/>
      <c r="N12" s="321">
        <f>E12*D12</f>
        <v>2.2780000000000002E-2</v>
      </c>
      <c r="O12" s="270"/>
    </row>
    <row r="13" spans="1:15" x14ac:dyDescent="0.3">
      <c r="A13" s="286"/>
      <c r="B13" s="287"/>
      <c r="C13" s="287"/>
      <c r="D13" s="287"/>
      <c r="E13" s="287"/>
      <c r="F13" s="287"/>
      <c r="G13" s="287"/>
      <c r="H13" s="287"/>
      <c r="I13" s="287"/>
      <c r="J13" s="287"/>
      <c r="K13" s="287"/>
      <c r="L13" s="287"/>
      <c r="M13" s="295" t="s">
        <v>18</v>
      </c>
      <c r="N13" s="294">
        <f>SUM(N11:N12)</f>
        <v>0.1233679375</v>
      </c>
      <c r="O13" s="270"/>
    </row>
    <row r="14" spans="1:15" x14ac:dyDescent="0.3">
      <c r="A14" s="285"/>
      <c r="B14" s="269"/>
      <c r="C14" s="269"/>
      <c r="D14" s="269"/>
      <c r="E14" s="269"/>
      <c r="F14" s="269"/>
      <c r="G14" s="269"/>
      <c r="H14" s="269"/>
      <c r="I14" s="269"/>
      <c r="J14" s="269"/>
      <c r="K14" s="269"/>
      <c r="L14" s="269"/>
      <c r="M14" s="269"/>
      <c r="N14" s="269"/>
      <c r="O14" s="270"/>
    </row>
    <row r="15" spans="1:15" x14ac:dyDescent="0.3">
      <c r="A15" s="312" t="s">
        <v>14</v>
      </c>
      <c r="B15" s="293" t="s">
        <v>31</v>
      </c>
      <c r="C15" s="293" t="s">
        <v>20</v>
      </c>
      <c r="D15" s="293" t="s">
        <v>21</v>
      </c>
      <c r="E15" s="293" t="s">
        <v>32</v>
      </c>
      <c r="F15" s="293" t="s">
        <v>17</v>
      </c>
      <c r="G15" s="293" t="s">
        <v>33</v>
      </c>
      <c r="H15" s="293" t="s">
        <v>34</v>
      </c>
      <c r="I15" s="293" t="s">
        <v>18</v>
      </c>
      <c r="J15" s="287"/>
      <c r="K15" s="287"/>
      <c r="L15" s="287"/>
      <c r="M15" s="287"/>
      <c r="N15" s="287"/>
      <c r="O15" s="270"/>
    </row>
    <row r="16" spans="1:15" ht="57.6" x14ac:dyDescent="0.3">
      <c r="A16" s="325">
        <v>10</v>
      </c>
      <c r="B16" s="304" t="s">
        <v>39</v>
      </c>
      <c r="C16" s="326" t="s">
        <v>282</v>
      </c>
      <c r="D16" s="327">
        <v>1.3</v>
      </c>
      <c r="E16" s="304" t="s">
        <v>32</v>
      </c>
      <c r="F16" s="305">
        <v>1</v>
      </c>
      <c r="G16" s="326" t="s">
        <v>294</v>
      </c>
      <c r="H16" s="328">
        <v>0.5</v>
      </c>
      <c r="I16" s="300">
        <f>H16*D16</f>
        <v>0.65</v>
      </c>
      <c r="J16" s="305"/>
      <c r="K16" s="269"/>
      <c r="L16" s="269"/>
      <c r="M16" s="269"/>
      <c r="N16" s="269"/>
      <c r="O16" s="270"/>
    </row>
    <row r="17" spans="1:15" x14ac:dyDescent="0.3">
      <c r="A17" s="329">
        <v>20</v>
      </c>
      <c r="B17" s="301" t="s">
        <v>283</v>
      </c>
      <c r="C17" s="302"/>
      <c r="D17" s="327">
        <v>0.01</v>
      </c>
      <c r="E17" s="301" t="s">
        <v>40</v>
      </c>
      <c r="F17" s="331">
        <v>11.7</v>
      </c>
      <c r="G17" s="304"/>
      <c r="H17" s="328"/>
      <c r="I17" s="300">
        <f>IF(H17="",D17*F17,D17*F17*H17)</f>
        <v>0.11699999999999999</v>
      </c>
      <c r="J17" s="305"/>
      <c r="K17" s="269"/>
      <c r="L17" s="269"/>
      <c r="M17" s="269"/>
      <c r="N17" s="269"/>
      <c r="O17" s="270"/>
    </row>
    <row r="18" spans="1:15" ht="43.2" x14ac:dyDescent="0.3">
      <c r="A18" s="325">
        <v>30</v>
      </c>
      <c r="B18" s="330" t="s">
        <v>39</v>
      </c>
      <c r="C18" s="303"/>
      <c r="D18" s="306">
        <v>0.65</v>
      </c>
      <c r="E18" s="303" t="s">
        <v>32</v>
      </c>
      <c r="F18" s="303">
        <v>1</v>
      </c>
      <c r="G18" s="326" t="s">
        <v>294</v>
      </c>
      <c r="H18" s="303">
        <v>0.5</v>
      </c>
      <c r="I18" s="307">
        <f t="shared" ref="I18:I19" si="0">IF(H18="",D18*F18,D18*F18*H18)</f>
        <v>0.32500000000000001</v>
      </c>
      <c r="J18" s="305"/>
      <c r="K18" s="269"/>
      <c r="L18" s="269"/>
      <c r="M18" s="269"/>
      <c r="N18" s="269"/>
      <c r="O18" s="270"/>
    </row>
    <row r="19" spans="1:15" x14ac:dyDescent="0.3">
      <c r="A19" s="329">
        <v>40</v>
      </c>
      <c r="B19" s="303" t="s">
        <v>159</v>
      </c>
      <c r="C19" s="303" t="s">
        <v>293</v>
      </c>
      <c r="D19" s="306">
        <v>2.9000000000000001E-2</v>
      </c>
      <c r="E19" s="303" t="s">
        <v>161</v>
      </c>
      <c r="F19" s="303">
        <v>1</v>
      </c>
      <c r="G19" s="303" t="s">
        <v>268</v>
      </c>
      <c r="H19" s="303">
        <v>3</v>
      </c>
      <c r="I19" s="307">
        <f t="shared" si="0"/>
        <v>8.7000000000000008E-2</v>
      </c>
      <c r="J19" s="308"/>
      <c r="K19" s="287"/>
      <c r="L19" s="287"/>
      <c r="M19" s="287"/>
      <c r="N19" s="287"/>
      <c r="O19" s="270"/>
    </row>
    <row r="20" spans="1:15" ht="28.8" x14ac:dyDescent="0.3">
      <c r="A20" s="325">
        <v>50</v>
      </c>
      <c r="B20" s="304" t="s">
        <v>233</v>
      </c>
      <c r="C20" s="302" t="s">
        <v>284</v>
      </c>
      <c r="D20" s="309">
        <v>5.25</v>
      </c>
      <c r="E20" s="304" t="s">
        <v>276</v>
      </c>
      <c r="F20" s="459">
        <f>2*J11</f>
        <v>2.2780000000000001E-3</v>
      </c>
      <c r="G20" s="304"/>
      <c r="H20" s="328"/>
      <c r="I20" s="307">
        <f>F20*D20</f>
        <v>1.19595E-2</v>
      </c>
      <c r="J20" s="310"/>
      <c r="K20" s="56"/>
      <c r="L20" s="56"/>
      <c r="M20" s="56"/>
      <c r="N20" s="56"/>
      <c r="O20" s="270"/>
    </row>
    <row r="21" spans="1:15" x14ac:dyDescent="0.3">
      <c r="A21" s="286"/>
      <c r="B21" s="287"/>
      <c r="C21" s="287"/>
      <c r="D21" s="287"/>
      <c r="E21" s="287"/>
      <c r="F21" s="287"/>
      <c r="G21" s="287"/>
      <c r="H21" s="295" t="s">
        <v>18</v>
      </c>
      <c r="I21" s="296">
        <f>SUM(I16:I20)</f>
        <v>1.1909594999999999</v>
      </c>
      <c r="J21" s="56"/>
      <c r="K21" s="56"/>
      <c r="L21" s="56"/>
      <c r="M21" s="56"/>
      <c r="N21" s="56"/>
      <c r="O21" s="270"/>
    </row>
    <row r="22" spans="1:15" ht="15" thickBot="1" x14ac:dyDescent="0.35">
      <c r="A22" s="290"/>
      <c r="B22" s="291"/>
      <c r="C22" s="291"/>
      <c r="D22" s="291"/>
      <c r="E22" s="291"/>
      <c r="F22" s="291"/>
      <c r="G22" s="291"/>
      <c r="H22" s="291"/>
      <c r="I22" s="291"/>
      <c r="J22" s="291"/>
      <c r="K22" s="291"/>
      <c r="L22" s="291"/>
      <c r="M22" s="291"/>
      <c r="N22" s="291"/>
      <c r="O22" s="292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0866141732283472" right="0.70866141732283472" top="0.74803149606299213" bottom="0.74803149606299213" header="0.31496062992125984" footer="0.31496062992125984"/>
  <pageSetup paperSize="9" scale="75" fitToHeight="99" orientation="landscape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1" t="s">
        <v>287</v>
      </c>
    </row>
  </sheetData>
  <hyperlinks>
    <hyperlink ref="B1" location="SU_01010" display="SU_01010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311" t="s">
        <v>0</v>
      </c>
      <c r="B2" s="16" t="s">
        <v>37</v>
      </c>
      <c r="C2" s="269"/>
      <c r="D2" s="269"/>
      <c r="E2" s="269"/>
      <c r="F2" s="277" t="s">
        <v>126</v>
      </c>
      <c r="G2" s="269"/>
      <c r="H2" s="269"/>
      <c r="I2" s="269"/>
      <c r="J2" s="102" t="s">
        <v>1</v>
      </c>
      <c r="K2" s="273">
        <v>81</v>
      </c>
      <c r="L2" s="269"/>
      <c r="M2" s="297" t="s">
        <v>16</v>
      </c>
      <c r="N2" s="271">
        <v>0.37972487499999996</v>
      </c>
      <c r="O2" s="270"/>
    </row>
    <row r="3" spans="1:15" x14ac:dyDescent="0.3">
      <c r="A3" s="311" t="s">
        <v>3</v>
      </c>
      <c r="B3" s="16" t="str">
        <f>'SU A0100'!B3</f>
        <v>Suspension &amp; Shocks</v>
      </c>
      <c r="C3" s="273"/>
      <c r="D3" s="344" t="s">
        <v>6</v>
      </c>
      <c r="E3" s="281" t="s">
        <v>86</v>
      </c>
      <c r="F3" s="269"/>
      <c r="G3" s="269"/>
      <c r="H3" s="269"/>
      <c r="I3" s="269"/>
      <c r="J3" s="269"/>
      <c r="K3" s="269"/>
      <c r="L3" s="269"/>
      <c r="M3" s="297" t="s">
        <v>4</v>
      </c>
      <c r="N3" s="274">
        <v>1</v>
      </c>
      <c r="O3" s="270"/>
    </row>
    <row r="4" spans="1:15" x14ac:dyDescent="0.3">
      <c r="A4" s="311" t="s">
        <v>5</v>
      </c>
      <c r="B4" s="88" t="str">
        <f>'SU A0100'!B4</f>
        <v>Upper Front A-arm</v>
      </c>
      <c r="C4" s="269"/>
      <c r="D4" s="344" t="s">
        <v>8</v>
      </c>
      <c r="E4" s="346"/>
      <c r="F4" s="269"/>
      <c r="G4" s="269"/>
      <c r="H4" s="269"/>
      <c r="I4" s="269"/>
      <c r="J4" s="102" t="s">
        <v>6</v>
      </c>
      <c r="K4" s="269"/>
      <c r="L4" s="269"/>
      <c r="M4" s="269"/>
      <c r="N4" s="269"/>
      <c r="O4" s="270"/>
    </row>
    <row r="5" spans="1:15" x14ac:dyDescent="0.3">
      <c r="A5" s="311" t="s">
        <v>15</v>
      </c>
      <c r="B5" s="72" t="s">
        <v>292</v>
      </c>
      <c r="C5" s="269"/>
      <c r="D5" s="344" t="s">
        <v>12</v>
      </c>
      <c r="E5" s="346"/>
      <c r="F5" s="269"/>
      <c r="G5" s="269"/>
      <c r="H5" s="269"/>
      <c r="I5" s="269"/>
      <c r="J5" s="102" t="s">
        <v>8</v>
      </c>
      <c r="K5" s="269"/>
      <c r="L5" s="269"/>
      <c r="M5" s="297" t="s">
        <v>9</v>
      </c>
      <c r="N5" s="271">
        <v>1.5188994999999998</v>
      </c>
      <c r="O5" s="270"/>
    </row>
    <row r="6" spans="1:15" x14ac:dyDescent="0.3">
      <c r="A6" s="311" t="s">
        <v>7</v>
      </c>
      <c r="B6" s="28" t="s">
        <v>288</v>
      </c>
      <c r="C6" s="269"/>
      <c r="D6" s="269"/>
      <c r="E6" s="269"/>
      <c r="F6" s="269"/>
      <c r="G6" s="269"/>
      <c r="H6" s="269"/>
      <c r="I6" s="269"/>
      <c r="J6" s="102" t="s">
        <v>12</v>
      </c>
      <c r="K6" s="269"/>
      <c r="L6" s="269"/>
      <c r="M6" s="269"/>
      <c r="N6" s="269"/>
      <c r="O6" s="270"/>
    </row>
    <row r="7" spans="1:15" x14ac:dyDescent="0.3">
      <c r="A7" s="311" t="s">
        <v>10</v>
      </c>
      <c r="B7" s="16" t="s">
        <v>11</v>
      </c>
      <c r="C7" s="269"/>
      <c r="D7" s="269"/>
      <c r="E7" s="269"/>
      <c r="F7" s="269"/>
      <c r="G7" s="269"/>
      <c r="H7" s="269"/>
      <c r="I7" s="269"/>
      <c r="J7" s="269"/>
      <c r="K7" s="269"/>
      <c r="L7" s="269"/>
      <c r="M7" s="269"/>
      <c r="N7" s="269"/>
      <c r="O7" s="270"/>
    </row>
    <row r="8" spans="1:15" x14ac:dyDescent="0.3">
      <c r="A8" s="311" t="s">
        <v>13</v>
      </c>
      <c r="B8" s="269" t="s">
        <v>277</v>
      </c>
      <c r="C8" s="269"/>
      <c r="D8" s="269"/>
      <c r="E8" s="269"/>
      <c r="F8" s="269"/>
      <c r="G8" s="269"/>
      <c r="H8" s="269"/>
      <c r="I8" s="269"/>
      <c r="J8" s="269"/>
      <c r="K8" s="269"/>
      <c r="L8" s="269"/>
      <c r="M8" s="269"/>
      <c r="N8" s="269"/>
      <c r="O8" s="270"/>
    </row>
    <row r="9" spans="1:15" x14ac:dyDescent="0.3">
      <c r="A9" s="285"/>
      <c r="B9" s="269"/>
      <c r="C9" s="269"/>
      <c r="D9" s="269"/>
      <c r="E9" s="269"/>
      <c r="F9" s="269"/>
      <c r="G9" s="269"/>
      <c r="H9" s="269"/>
      <c r="I9" s="269"/>
      <c r="J9" s="269"/>
      <c r="K9" s="269"/>
      <c r="L9" s="269"/>
      <c r="M9" s="269"/>
      <c r="N9" s="269"/>
      <c r="O9" s="270"/>
    </row>
    <row r="10" spans="1:15" x14ac:dyDescent="0.3">
      <c r="A10" s="312" t="s">
        <v>14</v>
      </c>
      <c r="B10" s="293" t="s">
        <v>19</v>
      </c>
      <c r="C10" s="293" t="s">
        <v>20</v>
      </c>
      <c r="D10" s="293" t="s">
        <v>21</v>
      </c>
      <c r="E10" s="293" t="s">
        <v>22</v>
      </c>
      <c r="F10" s="293" t="s">
        <v>23</v>
      </c>
      <c r="G10" s="293" t="s">
        <v>24</v>
      </c>
      <c r="H10" s="293" t="s">
        <v>25</v>
      </c>
      <c r="I10" s="293" t="s">
        <v>26</v>
      </c>
      <c r="J10" s="293" t="s">
        <v>27</v>
      </c>
      <c r="K10" s="293" t="s">
        <v>28</v>
      </c>
      <c r="L10" s="293" t="s">
        <v>29</v>
      </c>
      <c r="M10" s="293" t="s">
        <v>17</v>
      </c>
      <c r="N10" s="293" t="s">
        <v>18</v>
      </c>
      <c r="O10" s="270"/>
    </row>
    <row r="11" spans="1:15" ht="28.8" x14ac:dyDescent="0.3">
      <c r="A11" s="289">
        <v>10</v>
      </c>
      <c r="B11" s="313" t="s">
        <v>278</v>
      </c>
      <c r="C11" s="314" t="s">
        <v>279</v>
      </c>
      <c r="D11" s="299">
        <v>2.25</v>
      </c>
      <c r="E11" s="315">
        <f>J11*K11*L11</f>
        <v>4.9847500000000003E-2</v>
      </c>
      <c r="F11" s="316" t="s">
        <v>212</v>
      </c>
      <c r="G11" s="316"/>
      <c r="H11" s="317"/>
      <c r="I11" s="318" t="s">
        <v>280</v>
      </c>
      <c r="J11" s="319">
        <v>1.2700000000000001E-3</v>
      </c>
      <c r="K11" s="319">
        <v>5.0000000000000001E-3</v>
      </c>
      <c r="L11" s="320">
        <v>7850</v>
      </c>
      <c r="M11" s="320">
        <v>1</v>
      </c>
      <c r="N11" s="321">
        <f>IF(J11="",D11*M11,D11*J11*K11*L11*M11)</f>
        <v>0.11215687500000002</v>
      </c>
      <c r="O11" s="270"/>
    </row>
    <row r="12" spans="1:15" x14ac:dyDescent="0.3">
      <c r="A12" s="289">
        <v>20</v>
      </c>
      <c r="B12" s="313" t="s">
        <v>281</v>
      </c>
      <c r="C12" s="314"/>
      <c r="D12" s="322">
        <v>10</v>
      </c>
      <c r="E12" s="323">
        <f>2*J11</f>
        <v>2.5400000000000002E-3</v>
      </c>
      <c r="F12" s="324" t="s">
        <v>276</v>
      </c>
      <c r="G12" s="316"/>
      <c r="H12" s="317"/>
      <c r="I12" s="318"/>
      <c r="J12" s="319"/>
      <c r="K12" s="317"/>
      <c r="L12" s="320"/>
      <c r="M12" s="320"/>
      <c r="N12" s="321">
        <f>E12*D12</f>
        <v>2.5400000000000002E-2</v>
      </c>
      <c r="O12" s="270"/>
    </row>
    <row r="13" spans="1:15" x14ac:dyDescent="0.3">
      <c r="A13" s="286"/>
      <c r="B13" s="287"/>
      <c r="C13" s="287"/>
      <c r="D13" s="287"/>
      <c r="E13" s="287"/>
      <c r="F13" s="287"/>
      <c r="G13" s="287"/>
      <c r="H13" s="287"/>
      <c r="I13" s="287"/>
      <c r="J13" s="287"/>
      <c r="K13" s="287"/>
      <c r="L13" s="287"/>
      <c r="M13" s="295" t="s">
        <v>18</v>
      </c>
      <c r="N13" s="294">
        <f>SUM(N11:N12)</f>
        <v>0.13755687500000002</v>
      </c>
      <c r="O13" s="270"/>
    </row>
    <row r="14" spans="1:15" x14ac:dyDescent="0.3">
      <c r="A14" s="285"/>
      <c r="B14" s="269"/>
      <c r="C14" s="269"/>
      <c r="D14" s="269"/>
      <c r="E14" s="269"/>
      <c r="F14" s="269"/>
      <c r="G14" s="269"/>
      <c r="H14" s="269"/>
      <c r="I14" s="269"/>
      <c r="J14" s="269"/>
      <c r="K14" s="269"/>
      <c r="L14" s="269"/>
      <c r="M14" s="269"/>
      <c r="N14" s="269"/>
      <c r="O14" s="270"/>
    </row>
    <row r="15" spans="1:15" x14ac:dyDescent="0.3">
      <c r="A15" s="312" t="s">
        <v>14</v>
      </c>
      <c r="B15" s="293" t="s">
        <v>31</v>
      </c>
      <c r="C15" s="293" t="s">
        <v>20</v>
      </c>
      <c r="D15" s="293" t="s">
        <v>21</v>
      </c>
      <c r="E15" s="293" t="s">
        <v>32</v>
      </c>
      <c r="F15" s="293" t="s">
        <v>17</v>
      </c>
      <c r="G15" s="293" t="s">
        <v>33</v>
      </c>
      <c r="H15" s="293" t="s">
        <v>34</v>
      </c>
      <c r="I15" s="293" t="s">
        <v>18</v>
      </c>
      <c r="J15" s="287"/>
      <c r="K15" s="287"/>
      <c r="L15" s="287"/>
      <c r="M15" s="287"/>
      <c r="N15" s="287"/>
      <c r="O15" s="270"/>
    </row>
    <row r="16" spans="1:15" ht="28.2" customHeight="1" x14ac:dyDescent="0.3">
      <c r="A16" s="325">
        <v>10</v>
      </c>
      <c r="B16" s="304" t="s">
        <v>39</v>
      </c>
      <c r="C16" s="326" t="s">
        <v>282</v>
      </c>
      <c r="D16" s="327">
        <v>1.3</v>
      </c>
      <c r="E16" s="304" t="s">
        <v>32</v>
      </c>
      <c r="F16" s="305">
        <v>1</v>
      </c>
      <c r="G16" s="326" t="s">
        <v>294</v>
      </c>
      <c r="H16" s="328">
        <v>0.5</v>
      </c>
      <c r="I16" s="300">
        <f>H16*D16</f>
        <v>0.65</v>
      </c>
      <c r="J16" s="305"/>
      <c r="K16" s="269"/>
      <c r="L16" s="269"/>
      <c r="M16" s="269"/>
      <c r="N16" s="269"/>
      <c r="O16" s="270"/>
    </row>
    <row r="17" spans="1:15" x14ac:dyDescent="0.3">
      <c r="A17" s="329">
        <v>20</v>
      </c>
      <c r="B17" s="301" t="s">
        <v>283</v>
      </c>
      <c r="C17" s="302"/>
      <c r="D17" s="327">
        <v>0.01</v>
      </c>
      <c r="E17" s="301" t="s">
        <v>40</v>
      </c>
      <c r="F17" s="331">
        <v>11.5</v>
      </c>
      <c r="G17" s="304"/>
      <c r="H17" s="328"/>
      <c r="I17" s="300">
        <f>IF(H17="",D17*F17,D17*F17*H17)</f>
        <v>0.115</v>
      </c>
      <c r="J17" s="305"/>
      <c r="K17" s="269"/>
      <c r="L17" s="269"/>
      <c r="M17" s="269"/>
      <c r="N17" s="269"/>
      <c r="O17" s="270"/>
    </row>
    <row r="18" spans="1:15" ht="43.2" x14ac:dyDescent="0.3">
      <c r="A18" s="325">
        <v>30</v>
      </c>
      <c r="B18" s="330" t="s">
        <v>39</v>
      </c>
      <c r="C18" s="303"/>
      <c r="D18" s="306">
        <v>0.65</v>
      </c>
      <c r="E18" s="303" t="s">
        <v>32</v>
      </c>
      <c r="F18" s="303">
        <v>1</v>
      </c>
      <c r="G18" s="326" t="s">
        <v>294</v>
      </c>
      <c r="H18" s="303">
        <v>0.5</v>
      </c>
      <c r="I18" s="307">
        <f t="shared" ref="I18:I19" si="0">IF(H18="",D18*F18,D18*F18*H18)</f>
        <v>0.32500000000000001</v>
      </c>
      <c r="J18" s="305"/>
      <c r="K18" s="269"/>
      <c r="L18" s="269"/>
      <c r="M18" s="269"/>
      <c r="N18" s="269"/>
      <c r="O18" s="270"/>
    </row>
    <row r="19" spans="1:15" x14ac:dyDescent="0.3">
      <c r="A19" s="329">
        <v>40</v>
      </c>
      <c r="B19" s="303" t="s">
        <v>159</v>
      </c>
      <c r="C19" s="303" t="s">
        <v>293</v>
      </c>
      <c r="D19" s="306">
        <v>2.9000000000000001E-2</v>
      </c>
      <c r="E19" s="303" t="s">
        <v>161</v>
      </c>
      <c r="F19" s="303">
        <v>1</v>
      </c>
      <c r="G19" s="303" t="s">
        <v>268</v>
      </c>
      <c r="H19" s="303">
        <v>3</v>
      </c>
      <c r="I19" s="307">
        <f t="shared" si="0"/>
        <v>8.7000000000000008E-2</v>
      </c>
      <c r="J19" s="308"/>
      <c r="K19" s="287"/>
      <c r="L19" s="287"/>
      <c r="M19" s="287"/>
      <c r="N19" s="287"/>
      <c r="O19" s="270"/>
    </row>
    <row r="20" spans="1:15" x14ac:dyDescent="0.3">
      <c r="A20" s="325">
        <v>50</v>
      </c>
      <c r="B20" s="304" t="s">
        <v>233</v>
      </c>
      <c r="C20" s="302" t="s">
        <v>284</v>
      </c>
      <c r="D20" s="309">
        <v>5.25</v>
      </c>
      <c r="E20" s="304" t="s">
        <v>276</v>
      </c>
      <c r="F20" s="459">
        <f>2*J11</f>
        <v>2.5400000000000002E-3</v>
      </c>
      <c r="G20" s="304"/>
      <c r="H20" s="328"/>
      <c r="I20" s="307">
        <f>F20*D20</f>
        <v>1.3335000000000001E-2</v>
      </c>
      <c r="J20" s="310"/>
      <c r="K20" s="56"/>
      <c r="L20" s="56"/>
      <c r="M20" s="56"/>
      <c r="N20" s="56"/>
      <c r="O20" s="270"/>
    </row>
    <row r="21" spans="1:15" x14ac:dyDescent="0.3">
      <c r="A21" s="286"/>
      <c r="B21" s="287"/>
      <c r="C21" s="287"/>
      <c r="D21" s="287"/>
      <c r="E21" s="287"/>
      <c r="F21" s="287"/>
      <c r="G21" s="287"/>
      <c r="H21" s="295" t="s">
        <v>18</v>
      </c>
      <c r="I21" s="296">
        <f>SUM(I16:I20)</f>
        <v>1.1903350000000001</v>
      </c>
      <c r="J21" s="56"/>
      <c r="K21" s="56"/>
      <c r="L21" s="56"/>
      <c r="M21" s="56"/>
      <c r="N21" s="56"/>
      <c r="O21" s="270"/>
    </row>
    <row r="22" spans="1:15" ht="15" thickBot="1" x14ac:dyDescent="0.35">
      <c r="A22" s="290"/>
      <c r="B22" s="291"/>
      <c r="C22" s="291"/>
      <c r="D22" s="291"/>
      <c r="E22" s="291"/>
      <c r="F22" s="291"/>
      <c r="G22" s="291"/>
      <c r="H22" s="291"/>
      <c r="I22" s="291"/>
      <c r="J22" s="291"/>
      <c r="K22" s="291"/>
      <c r="L22" s="291"/>
      <c r="M22" s="291"/>
      <c r="N22" s="291"/>
      <c r="O22" s="292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0866141732283472" right="0.70866141732283472" top="0.74803149606299213" bottom="0.74803149606299213" header="0.31496062992125984" footer="0.31496062992125984"/>
  <pageSetup paperSize="9" scale="70" fitToHeight="99" orientation="landscape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1" t="s">
        <v>288</v>
      </c>
    </row>
  </sheetData>
  <hyperlinks>
    <hyperlink ref="B1" location="SU_01011" display="SU_0101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view="pageLayout" zoomScale="70" zoomScaleNormal="8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1"/>
      <c r="B1" s="342"/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3"/>
    </row>
    <row r="2" spans="1:15" x14ac:dyDescent="0.3">
      <c r="A2" s="474" t="s">
        <v>0</v>
      </c>
      <c r="B2" s="345" t="s">
        <v>37</v>
      </c>
      <c r="C2" s="346"/>
      <c r="D2" s="346"/>
      <c r="E2" s="347" t="s">
        <v>126</v>
      </c>
      <c r="F2" s="346"/>
      <c r="G2" s="346"/>
      <c r="H2" s="346"/>
      <c r="I2" s="346"/>
      <c r="J2" s="474" t="s">
        <v>1</v>
      </c>
      <c r="K2" s="349">
        <v>81</v>
      </c>
      <c r="L2" s="346"/>
      <c r="M2" s="474" t="s">
        <v>2</v>
      </c>
      <c r="N2" s="475">
        <f>SU_A0200_pa+SU_A0200_m+SU_A0200_p+SU_A0200_f</f>
        <v>82.266310687787325</v>
      </c>
      <c r="O2" s="351"/>
    </row>
    <row r="3" spans="1:15" x14ac:dyDescent="0.3">
      <c r="A3" s="474" t="s">
        <v>3</v>
      </c>
      <c r="B3" s="345" t="s">
        <v>129</v>
      </c>
      <c r="C3" s="346"/>
      <c r="D3" s="346"/>
      <c r="E3" s="346"/>
      <c r="F3" s="346"/>
      <c r="G3" s="346"/>
      <c r="H3" s="346"/>
      <c r="I3" s="346"/>
      <c r="J3" s="346"/>
      <c r="K3" s="346"/>
      <c r="L3" s="346"/>
      <c r="M3" s="474" t="s">
        <v>4</v>
      </c>
      <c r="N3" s="353">
        <v>2</v>
      </c>
      <c r="O3" s="351"/>
    </row>
    <row r="4" spans="1:15" x14ac:dyDescent="0.3">
      <c r="A4" s="474" t="s">
        <v>5</v>
      </c>
      <c r="B4" s="346" t="s">
        <v>176</v>
      </c>
      <c r="C4" s="346"/>
      <c r="D4" s="346"/>
      <c r="E4" s="346"/>
      <c r="F4" s="346"/>
      <c r="G4" s="346"/>
      <c r="H4" s="346"/>
      <c r="I4" s="346"/>
      <c r="J4" s="476" t="s">
        <v>6</v>
      </c>
      <c r="K4" s="346"/>
      <c r="L4" s="346"/>
      <c r="M4" s="346"/>
      <c r="N4" s="346"/>
      <c r="O4" s="351"/>
    </row>
    <row r="5" spans="1:15" x14ac:dyDescent="0.3">
      <c r="A5" s="474" t="s">
        <v>7</v>
      </c>
      <c r="B5" s="389" t="s">
        <v>177</v>
      </c>
      <c r="C5" s="346"/>
      <c r="D5" s="346"/>
      <c r="E5" s="346"/>
      <c r="F5" s="346"/>
      <c r="G5" s="346"/>
      <c r="H5" s="346"/>
      <c r="I5" s="346"/>
      <c r="J5" s="476" t="s">
        <v>8</v>
      </c>
      <c r="K5" s="346"/>
      <c r="L5" s="346"/>
      <c r="M5" s="474" t="s">
        <v>9</v>
      </c>
      <c r="N5" s="350">
        <f>N2*N3</f>
        <v>164.53262137557465</v>
      </c>
      <c r="O5" s="351"/>
    </row>
    <row r="6" spans="1:15" x14ac:dyDescent="0.3">
      <c r="A6" s="474" t="s">
        <v>10</v>
      </c>
      <c r="B6" s="345"/>
      <c r="C6" s="346"/>
      <c r="D6" s="346"/>
      <c r="E6" s="346"/>
      <c r="F6" s="346"/>
      <c r="G6" s="346"/>
      <c r="H6" s="346"/>
      <c r="I6" s="346"/>
      <c r="J6" s="476" t="s">
        <v>12</v>
      </c>
      <c r="K6" s="346"/>
      <c r="L6" s="346"/>
      <c r="M6" s="346"/>
      <c r="N6" s="346"/>
      <c r="O6" s="351"/>
    </row>
    <row r="7" spans="1:15" x14ac:dyDescent="0.3">
      <c r="A7" s="474" t="s">
        <v>13</v>
      </c>
      <c r="B7" s="345"/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51"/>
    </row>
    <row r="8" spans="1:15" x14ac:dyDescent="0.3">
      <c r="A8" s="379"/>
      <c r="B8" s="346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51"/>
    </row>
    <row r="9" spans="1:15" x14ac:dyDescent="0.3">
      <c r="A9" s="474" t="s">
        <v>14</v>
      </c>
      <c r="B9" s="474" t="s">
        <v>15</v>
      </c>
      <c r="C9" s="474" t="s">
        <v>16</v>
      </c>
      <c r="D9" s="474" t="s">
        <v>17</v>
      </c>
      <c r="E9" s="474" t="s">
        <v>18</v>
      </c>
      <c r="F9" s="346"/>
      <c r="G9" s="346"/>
      <c r="H9" s="346"/>
      <c r="I9" s="346"/>
      <c r="J9" s="346"/>
      <c r="K9" s="346"/>
      <c r="L9" s="346"/>
      <c r="M9" s="346"/>
      <c r="N9" s="346"/>
      <c r="O9" s="351"/>
    </row>
    <row r="10" spans="1:15" x14ac:dyDescent="0.3">
      <c r="A10" s="396">
        <v>10</v>
      </c>
      <c r="B10" s="477" t="str">
        <f>'SU 02001'!B5</f>
        <v>Lower Front Bearing Support</v>
      </c>
      <c r="C10" s="350">
        <f>'SU 02001'!N2</f>
        <v>9.1140000000000008</v>
      </c>
      <c r="D10" s="478">
        <f>SU_02001_q</f>
        <v>1</v>
      </c>
      <c r="E10" s="350">
        <f t="shared" ref="E10:E20" si="0">C10*D10</f>
        <v>9.1140000000000008</v>
      </c>
      <c r="F10" s="346"/>
      <c r="G10" s="346"/>
      <c r="H10" s="346"/>
      <c r="I10" s="346"/>
      <c r="J10" s="346"/>
      <c r="K10" s="346"/>
      <c r="L10" s="346"/>
      <c r="M10" s="346"/>
      <c r="N10" s="346"/>
      <c r="O10" s="351"/>
    </row>
    <row r="11" spans="1:15" x14ac:dyDescent="0.3">
      <c r="A11" s="396">
        <v>20</v>
      </c>
      <c r="B11" s="477" t="str">
        <f>'SU 02002'!B5</f>
        <v>Inner Bearing Support</v>
      </c>
      <c r="C11" s="350">
        <f>'SU 02002'!N2</f>
        <v>3.3353805440000004</v>
      </c>
      <c r="D11" s="396">
        <f>SU_02002_q</f>
        <v>2</v>
      </c>
      <c r="E11" s="350">
        <f t="shared" si="0"/>
        <v>6.6707610880000008</v>
      </c>
      <c r="F11" s="346"/>
      <c r="G11" s="346"/>
      <c r="H11" s="346"/>
      <c r="I11" s="346"/>
      <c r="J11" s="346"/>
      <c r="K11" s="346"/>
      <c r="L11" s="346"/>
      <c r="M11" s="346"/>
      <c r="N11" s="346"/>
      <c r="O11" s="351"/>
    </row>
    <row r="12" spans="1:15" x14ac:dyDescent="0.3">
      <c r="A12" s="396">
        <v>30</v>
      </c>
      <c r="B12" s="477" t="str">
        <f>'SU 02003'!B5</f>
        <v>Lower Front A-arm tube (Front)  Carbon Fiber Tube</v>
      </c>
      <c r="C12" s="350">
        <f>'SU 02003'!N2</f>
        <v>11.220746039999998</v>
      </c>
      <c r="D12" s="478">
        <f>SU_02003_q</f>
        <v>1</v>
      </c>
      <c r="E12" s="350">
        <f t="shared" si="0"/>
        <v>11.220746039999998</v>
      </c>
      <c r="F12" s="346"/>
      <c r="G12" s="346"/>
      <c r="H12" s="346"/>
      <c r="I12" s="346"/>
      <c r="J12" s="346"/>
      <c r="K12" s="346"/>
      <c r="L12" s="346"/>
      <c r="M12" s="346"/>
      <c r="N12" s="346"/>
      <c r="O12" s="479"/>
    </row>
    <row r="13" spans="1:15" s="17" customFormat="1" x14ac:dyDescent="0.3">
      <c r="A13" s="396">
        <v>40</v>
      </c>
      <c r="B13" s="477" t="str">
        <f>'SU 02004'!B5</f>
        <v>Lower Front A-arm tube (Back)  Carbon Fiber Tube</v>
      </c>
      <c r="C13" s="350">
        <f>'SU 02004'!N2</f>
        <v>10.001779199999998</v>
      </c>
      <c r="D13" s="396">
        <f>SU_02004_q</f>
        <v>1</v>
      </c>
      <c r="E13" s="350">
        <f t="shared" si="0"/>
        <v>10.001779199999998</v>
      </c>
      <c r="F13" s="346"/>
      <c r="G13" s="346"/>
      <c r="H13" s="346"/>
      <c r="I13" s="346"/>
      <c r="J13" s="346"/>
      <c r="K13" s="346"/>
      <c r="L13" s="346"/>
      <c r="M13" s="346"/>
      <c r="N13" s="346"/>
      <c r="O13" s="479"/>
    </row>
    <row r="14" spans="1:15" s="17" customFormat="1" x14ac:dyDescent="0.3">
      <c r="A14" s="396">
        <v>50</v>
      </c>
      <c r="B14" s="477" t="str">
        <f>'SU 02005'!B5</f>
        <v>Spacer 1</v>
      </c>
      <c r="C14" s="350">
        <f>'SU 02005'!N2</f>
        <v>1.0541703760000001</v>
      </c>
      <c r="D14" s="478">
        <f>SU_02005_q</f>
        <v>2</v>
      </c>
      <c r="E14" s="350">
        <f t="shared" si="0"/>
        <v>2.1083407520000002</v>
      </c>
      <c r="F14" s="346"/>
      <c r="G14" s="346"/>
      <c r="H14" s="346"/>
      <c r="I14" s="346"/>
      <c r="J14" s="346"/>
      <c r="K14" s="346"/>
      <c r="L14" s="346"/>
      <c r="M14" s="346"/>
      <c r="N14" s="346"/>
      <c r="O14" s="351"/>
    </row>
    <row r="15" spans="1:15" s="17" customFormat="1" x14ac:dyDescent="0.3">
      <c r="A15" s="396">
        <v>60</v>
      </c>
      <c r="B15" s="477" t="str">
        <f>'SU 02006'!B5</f>
        <v>Spacer 2</v>
      </c>
      <c r="C15" s="350">
        <f>'SU 02006'!N2</f>
        <v>1.1551782399999999</v>
      </c>
      <c r="D15" s="396">
        <f>SU_02006_q</f>
        <v>4</v>
      </c>
      <c r="E15" s="350">
        <f t="shared" si="0"/>
        <v>4.6207129599999996</v>
      </c>
      <c r="F15" s="346"/>
      <c r="G15" s="346"/>
      <c r="H15" s="346"/>
      <c r="I15" s="346"/>
      <c r="J15" s="346"/>
      <c r="K15" s="346"/>
      <c r="L15" s="346"/>
      <c r="M15" s="346"/>
      <c r="N15" s="346"/>
      <c r="O15" s="351"/>
    </row>
    <row r="16" spans="1:15" s="17" customFormat="1" x14ac:dyDescent="0.3">
      <c r="A16" s="481">
        <v>70</v>
      </c>
      <c r="B16" s="505" t="str">
        <f>'SU 02007'!B5</f>
        <v>Outboard A-arm Insert</v>
      </c>
      <c r="C16" s="484">
        <f>'SU 02007'!N2</f>
        <v>0.47719727680000001</v>
      </c>
      <c r="D16" s="506">
        <f>SU_02007_q</f>
        <v>2</v>
      </c>
      <c r="E16" s="484">
        <f t="shared" si="0"/>
        <v>0.95439455360000003</v>
      </c>
      <c r="F16" s="346"/>
      <c r="G16" s="346"/>
      <c r="H16" s="346"/>
      <c r="I16" s="346"/>
      <c r="J16" s="346"/>
      <c r="K16" s="346"/>
      <c r="L16" s="346"/>
      <c r="M16" s="346"/>
      <c r="N16" s="346"/>
      <c r="O16" s="351"/>
    </row>
    <row r="17" spans="1:15" s="17" customFormat="1" x14ac:dyDescent="0.3">
      <c r="A17" s="490">
        <v>80</v>
      </c>
      <c r="B17" s="570" t="str">
        <f>'SU 02008'!B5</f>
        <v>Front up bracket</v>
      </c>
      <c r="C17" s="496">
        <f>'SU 02008'!N2</f>
        <v>1.3868720000000001</v>
      </c>
      <c r="D17" s="480">
        <f>SU_02008_q</f>
        <v>1</v>
      </c>
      <c r="E17" s="496">
        <f t="shared" si="0"/>
        <v>1.3868720000000001</v>
      </c>
      <c r="F17" s="346"/>
      <c r="G17" s="346"/>
      <c r="H17" s="346"/>
      <c r="I17" s="346"/>
      <c r="J17" s="346"/>
      <c r="K17" s="346"/>
      <c r="L17" s="346"/>
      <c r="M17" s="346"/>
      <c r="N17" s="346"/>
      <c r="O17" s="351"/>
    </row>
    <row r="18" spans="1:15" s="17" customFormat="1" x14ac:dyDescent="0.3">
      <c r="A18" s="490">
        <v>90</v>
      </c>
      <c r="B18" s="570" t="str">
        <f>'SU 02009'!B5</f>
        <v>Front down bracket</v>
      </c>
      <c r="C18" s="496">
        <f>'SU 02009'!N2</f>
        <v>1.4357435000000001</v>
      </c>
      <c r="D18" s="480">
        <f>SU_02009_q</f>
        <v>1</v>
      </c>
      <c r="E18" s="496">
        <f t="shared" si="0"/>
        <v>1.4357435000000001</v>
      </c>
      <c r="F18" s="346"/>
      <c r="G18" s="346"/>
      <c r="H18" s="346"/>
      <c r="I18" s="346"/>
      <c r="J18" s="346"/>
      <c r="K18" s="346"/>
      <c r="L18" s="346"/>
      <c r="M18" s="346"/>
      <c r="N18" s="346"/>
      <c r="O18" s="351"/>
    </row>
    <row r="19" spans="1:15" s="17" customFormat="1" x14ac:dyDescent="0.3">
      <c r="A19" s="490">
        <v>100</v>
      </c>
      <c r="B19" s="570" t="str">
        <f>'SU 02010'!B5</f>
        <v>Rear Up bracket</v>
      </c>
      <c r="C19" s="496">
        <f>'SU 02010'!N2</f>
        <v>1.3315549999999998</v>
      </c>
      <c r="D19" s="480">
        <f>SU_02010_q</f>
        <v>1</v>
      </c>
      <c r="E19" s="496">
        <f t="shared" si="0"/>
        <v>1.3315549999999998</v>
      </c>
      <c r="F19" s="346"/>
      <c r="G19" s="346"/>
      <c r="H19" s="346"/>
      <c r="I19" s="346"/>
      <c r="J19" s="346"/>
      <c r="K19" s="346"/>
      <c r="L19" s="346"/>
      <c r="M19" s="346"/>
      <c r="N19" s="346"/>
      <c r="O19" s="351"/>
    </row>
    <row r="20" spans="1:15" s="17" customFormat="1" x14ac:dyDescent="0.3">
      <c r="A20" s="490">
        <v>110</v>
      </c>
      <c r="B20" s="570" t="str">
        <f>'SU 02011'!B5</f>
        <v>Rear down bracket</v>
      </c>
      <c r="C20" s="496">
        <f>'SU 02011'!N2</f>
        <v>1.41506025</v>
      </c>
      <c r="D20" s="480">
        <f>SU_02011_q</f>
        <v>1</v>
      </c>
      <c r="E20" s="496">
        <f t="shared" si="0"/>
        <v>1.41506025</v>
      </c>
      <c r="F20" s="346"/>
      <c r="G20" s="346"/>
      <c r="H20" s="346"/>
      <c r="I20" s="346"/>
      <c r="J20" s="346"/>
      <c r="K20" s="346"/>
      <c r="L20" s="346"/>
      <c r="M20" s="346"/>
      <c r="N20" s="346"/>
      <c r="O20" s="351"/>
    </row>
    <row r="21" spans="1:15" x14ac:dyDescent="0.3">
      <c r="A21" s="379"/>
      <c r="B21" s="346"/>
      <c r="C21" s="346"/>
      <c r="D21" s="507" t="s">
        <v>18</v>
      </c>
      <c r="E21" s="489">
        <f>SUM(E10:E16)</f>
        <v>44.690734593599991</v>
      </c>
      <c r="F21" s="346"/>
      <c r="G21" s="346"/>
      <c r="H21" s="346"/>
      <c r="I21" s="346"/>
      <c r="J21" s="346"/>
      <c r="K21" s="346"/>
      <c r="L21" s="346"/>
      <c r="M21" s="346"/>
      <c r="N21" s="346"/>
      <c r="O21" s="351"/>
    </row>
    <row r="22" spans="1:15" x14ac:dyDescent="0.3">
      <c r="A22" s="379"/>
      <c r="B22" s="346"/>
      <c r="C22" s="346"/>
      <c r="D22" s="346"/>
      <c r="E22" s="346"/>
      <c r="F22" s="346"/>
      <c r="G22" s="346"/>
      <c r="H22" s="346"/>
      <c r="I22" s="346"/>
      <c r="J22" s="346"/>
      <c r="K22" s="346"/>
      <c r="L22" s="346"/>
      <c r="M22" s="346"/>
      <c r="N22" s="346"/>
      <c r="O22" s="351"/>
    </row>
    <row r="23" spans="1:15" x14ac:dyDescent="0.3">
      <c r="A23" s="487" t="s">
        <v>14</v>
      </c>
      <c r="B23" s="487" t="s">
        <v>19</v>
      </c>
      <c r="C23" s="487" t="s">
        <v>20</v>
      </c>
      <c r="D23" s="487" t="s">
        <v>21</v>
      </c>
      <c r="E23" s="487" t="s">
        <v>22</v>
      </c>
      <c r="F23" s="487" t="s">
        <v>23</v>
      </c>
      <c r="G23" s="487" t="s">
        <v>24</v>
      </c>
      <c r="H23" s="487" t="s">
        <v>25</v>
      </c>
      <c r="I23" s="487" t="s">
        <v>26</v>
      </c>
      <c r="J23" s="487" t="s">
        <v>27</v>
      </c>
      <c r="K23" s="487" t="s">
        <v>28</v>
      </c>
      <c r="L23" s="487" t="s">
        <v>29</v>
      </c>
      <c r="M23" s="487" t="s">
        <v>17</v>
      </c>
      <c r="N23" s="487" t="s">
        <v>18</v>
      </c>
      <c r="O23" s="351"/>
    </row>
    <row r="24" spans="1:15" ht="14.4" customHeight="1" x14ac:dyDescent="0.3">
      <c r="A24" s="490">
        <v>10</v>
      </c>
      <c r="B24" s="490" t="s">
        <v>131</v>
      </c>
      <c r="C24" s="490"/>
      <c r="D24" s="491">
        <f>0.03*E24^2+5</f>
        <v>6.92</v>
      </c>
      <c r="E24" s="490">
        <v>8</v>
      </c>
      <c r="F24" s="490" t="s">
        <v>30</v>
      </c>
      <c r="G24" s="490"/>
      <c r="H24" s="492"/>
      <c r="I24" s="493"/>
      <c r="J24" s="494"/>
      <c r="K24" s="492"/>
      <c r="L24" s="492"/>
      <c r="M24" s="495">
        <v>3</v>
      </c>
      <c r="N24" s="496">
        <f>M24*D24</f>
        <v>20.759999999999998</v>
      </c>
      <c r="O24" s="351"/>
    </row>
    <row r="25" spans="1:15" s="22" customFormat="1" ht="14.4" customHeight="1" x14ac:dyDescent="0.3">
      <c r="A25" s="490">
        <v>20</v>
      </c>
      <c r="B25" s="497" t="s">
        <v>136</v>
      </c>
      <c r="C25" s="498" t="s">
        <v>137</v>
      </c>
      <c r="D25" s="496"/>
      <c r="E25" s="499"/>
      <c r="F25" s="499">
        <v>95</v>
      </c>
      <c r="G25" s="499"/>
      <c r="H25" s="492"/>
      <c r="I25" s="500"/>
      <c r="J25" s="501"/>
      <c r="K25" s="502"/>
      <c r="L25" s="503"/>
      <c r="M25" s="504"/>
      <c r="N25" s="496">
        <f>M25*D25</f>
        <v>0</v>
      </c>
      <c r="O25" s="374"/>
    </row>
    <row r="26" spans="1:15" ht="31.8" customHeight="1" x14ac:dyDescent="0.3">
      <c r="A26" s="490">
        <v>30</v>
      </c>
      <c r="B26" s="497" t="s">
        <v>136</v>
      </c>
      <c r="C26" s="498" t="s">
        <v>138</v>
      </c>
      <c r="D26" s="496"/>
      <c r="E26" s="490"/>
      <c r="F26" s="490"/>
      <c r="G26" s="490"/>
      <c r="H26" s="492"/>
      <c r="I26" s="504"/>
      <c r="J26" s="495"/>
      <c r="K26" s="492"/>
      <c r="L26" s="503"/>
      <c r="M26" s="492"/>
      <c r="N26" s="496">
        <f>M26*D26</f>
        <v>0</v>
      </c>
      <c r="O26" s="351"/>
    </row>
    <row r="27" spans="1:15" x14ac:dyDescent="0.3">
      <c r="A27" s="375"/>
      <c r="B27" s="376"/>
      <c r="C27" s="376"/>
      <c r="D27" s="376"/>
      <c r="E27" s="376"/>
      <c r="F27" s="376"/>
      <c r="G27" s="376"/>
      <c r="H27" s="376"/>
      <c r="I27" s="376"/>
      <c r="J27" s="376"/>
      <c r="K27" s="376"/>
      <c r="L27" s="376"/>
      <c r="M27" s="488" t="s">
        <v>18</v>
      </c>
      <c r="N27" s="489">
        <f>SUM(N24:N26)</f>
        <v>20.759999999999998</v>
      </c>
      <c r="O27" s="351"/>
    </row>
    <row r="28" spans="1:15" x14ac:dyDescent="0.3">
      <c r="A28" s="379"/>
      <c r="B28" s="346"/>
      <c r="C28" s="346"/>
      <c r="D28" s="346"/>
      <c r="E28" s="346"/>
      <c r="F28" s="346"/>
      <c r="G28" s="346"/>
      <c r="H28" s="346"/>
      <c r="I28" s="346"/>
      <c r="J28" s="346"/>
      <c r="K28" s="346"/>
      <c r="L28" s="346"/>
      <c r="M28" s="346"/>
      <c r="N28" s="346"/>
      <c r="O28" s="351"/>
    </row>
    <row r="29" spans="1:15" s="25" customFormat="1" x14ac:dyDescent="0.3">
      <c r="A29" s="474" t="s">
        <v>14</v>
      </c>
      <c r="B29" s="474" t="s">
        <v>31</v>
      </c>
      <c r="C29" s="474" t="s">
        <v>20</v>
      </c>
      <c r="D29" s="474" t="s">
        <v>21</v>
      </c>
      <c r="E29" s="474" t="s">
        <v>32</v>
      </c>
      <c r="F29" s="474" t="s">
        <v>17</v>
      </c>
      <c r="G29" s="474" t="s">
        <v>33</v>
      </c>
      <c r="H29" s="474" t="s">
        <v>34</v>
      </c>
      <c r="I29" s="474" t="s">
        <v>18</v>
      </c>
      <c r="J29" s="376"/>
      <c r="K29" s="376"/>
      <c r="L29" s="376"/>
      <c r="M29" s="376"/>
      <c r="N29" s="376"/>
      <c r="O29" s="383"/>
    </row>
    <row r="30" spans="1:15" s="184" customFormat="1" x14ac:dyDescent="0.3">
      <c r="A30" s="226">
        <v>10</v>
      </c>
      <c r="B30" s="282" t="s">
        <v>142</v>
      </c>
      <c r="C30" s="227" t="s">
        <v>240</v>
      </c>
      <c r="D30" s="279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79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2" t="s">
        <v>139</v>
      </c>
      <c r="C31" s="227" t="s">
        <v>241</v>
      </c>
      <c r="D31" s="279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79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2" t="s">
        <v>142</v>
      </c>
      <c r="C32" s="227" t="s">
        <v>243</v>
      </c>
      <c r="D32" s="279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79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2" t="s">
        <v>225</v>
      </c>
      <c r="C33" s="232" t="s">
        <v>245</v>
      </c>
      <c r="D33" s="279">
        <v>0.06</v>
      </c>
      <c r="E33" s="282" t="s">
        <v>32</v>
      </c>
      <c r="F33" s="237">
        <v>1</v>
      </c>
      <c r="G33" s="237" t="s">
        <v>224</v>
      </c>
      <c r="H33" s="237">
        <v>2</v>
      </c>
      <c r="I33" s="279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2" t="s">
        <v>142</v>
      </c>
      <c r="C34" s="227" t="s">
        <v>246</v>
      </c>
      <c r="D34" s="279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79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2" t="s">
        <v>139</v>
      </c>
      <c r="C35" s="227" t="s">
        <v>247</v>
      </c>
      <c r="D35" s="279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79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2" t="s">
        <v>142</v>
      </c>
      <c r="C36" s="227" t="s">
        <v>226</v>
      </c>
      <c r="D36" s="279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79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2" t="s">
        <v>225</v>
      </c>
      <c r="C37" s="232" t="s">
        <v>248</v>
      </c>
      <c r="D37" s="279">
        <v>0.14000000000000001</v>
      </c>
      <c r="E37" s="282" t="s">
        <v>32</v>
      </c>
      <c r="F37" s="237">
        <v>1</v>
      </c>
      <c r="G37" s="237" t="s">
        <v>224</v>
      </c>
      <c r="H37" s="237">
        <v>2</v>
      </c>
      <c r="I37" s="279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2" t="s">
        <v>142</v>
      </c>
      <c r="C38" s="227" t="s">
        <v>242</v>
      </c>
      <c r="D38" s="279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79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2" t="s">
        <v>139</v>
      </c>
      <c r="C39" s="227" t="s">
        <v>244</v>
      </c>
      <c r="D39" s="279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79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2" t="s">
        <v>142</v>
      </c>
      <c r="C40" s="227" t="s">
        <v>226</v>
      </c>
      <c r="D40" s="279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79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2" t="s">
        <v>225</v>
      </c>
      <c r="C41" s="232" t="s">
        <v>249</v>
      </c>
      <c r="D41" s="279">
        <v>0.22</v>
      </c>
      <c r="E41" s="282" t="s">
        <v>32</v>
      </c>
      <c r="F41" s="237">
        <v>1</v>
      </c>
      <c r="G41" s="237" t="s">
        <v>224</v>
      </c>
      <c r="H41" s="237">
        <v>2</v>
      </c>
      <c r="I41" s="279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2" t="s">
        <v>142</v>
      </c>
      <c r="C42" s="227" t="s">
        <v>227</v>
      </c>
      <c r="D42" s="279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79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79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79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2" t="s">
        <v>225</v>
      </c>
      <c r="C44" s="227" t="s">
        <v>230</v>
      </c>
      <c r="D44" s="279">
        <v>0.3</v>
      </c>
      <c r="E44" s="282" t="s">
        <v>32</v>
      </c>
      <c r="F44" s="237">
        <v>1</v>
      </c>
      <c r="G44" s="237" t="s">
        <v>228</v>
      </c>
      <c r="H44" s="237">
        <v>3</v>
      </c>
      <c r="I44" s="279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79">
        <v>0.15</v>
      </c>
      <c r="E45" s="226" t="s">
        <v>140</v>
      </c>
      <c r="F45" s="237">
        <v>22</v>
      </c>
      <c r="G45" s="237"/>
      <c r="H45" s="221"/>
      <c r="I45" s="279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2" t="s">
        <v>233</v>
      </c>
      <c r="C46" s="232" t="s">
        <v>234</v>
      </c>
      <c r="D46" s="279">
        <v>5.25</v>
      </c>
      <c r="E46" s="282" t="s">
        <v>143</v>
      </c>
      <c r="F46" s="237">
        <v>0.01</v>
      </c>
      <c r="G46" s="237"/>
      <c r="H46" s="221"/>
      <c r="I46" s="279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79">
        <v>0.14000000000000001</v>
      </c>
      <c r="E47" s="226" t="s">
        <v>32</v>
      </c>
      <c r="F47" s="237">
        <v>1</v>
      </c>
      <c r="G47" s="237"/>
      <c r="H47" s="221"/>
      <c r="I47" s="279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2" t="s">
        <v>141</v>
      </c>
      <c r="C48" s="232" t="s">
        <v>236</v>
      </c>
      <c r="D48" s="279">
        <v>0.13</v>
      </c>
      <c r="E48" s="282" t="s">
        <v>32</v>
      </c>
      <c r="F48" s="237">
        <v>4</v>
      </c>
      <c r="G48" s="237"/>
      <c r="H48" s="221"/>
      <c r="I48" s="279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2" t="s">
        <v>141</v>
      </c>
      <c r="C49" s="232" t="s">
        <v>237</v>
      </c>
      <c r="D49" s="279">
        <v>0.13</v>
      </c>
      <c r="E49" s="282" t="s">
        <v>32</v>
      </c>
      <c r="F49" s="237">
        <v>8</v>
      </c>
      <c r="G49" s="237"/>
      <c r="H49" s="221"/>
      <c r="I49" s="279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79">
        <v>0.13</v>
      </c>
      <c r="E50" s="226" t="s">
        <v>32</v>
      </c>
      <c r="F50" s="237">
        <v>2</v>
      </c>
      <c r="G50" s="237"/>
      <c r="H50" s="221"/>
      <c r="I50" s="279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2" t="s">
        <v>145</v>
      </c>
      <c r="C51" s="232" t="s">
        <v>239</v>
      </c>
      <c r="D51" s="279">
        <v>0.25</v>
      </c>
      <c r="E51" s="282" t="s">
        <v>32</v>
      </c>
      <c r="F51" s="237">
        <v>2</v>
      </c>
      <c r="G51" s="237"/>
      <c r="H51" s="221"/>
      <c r="I51" s="279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75"/>
      <c r="B52" s="376"/>
      <c r="C52" s="376"/>
      <c r="D52" s="376"/>
      <c r="E52" s="376"/>
      <c r="F52" s="376"/>
      <c r="G52" s="376"/>
      <c r="H52" s="482" t="s">
        <v>18</v>
      </c>
      <c r="I52" s="483">
        <f>SUM(I30:I51)</f>
        <v>16.033700000000003</v>
      </c>
      <c r="J52" s="346"/>
      <c r="K52" s="346"/>
      <c r="L52" s="346"/>
      <c r="M52" s="346"/>
      <c r="N52" s="346"/>
      <c r="O52" s="351"/>
    </row>
    <row r="53" spans="1:15" x14ac:dyDescent="0.3">
      <c r="A53" s="379"/>
      <c r="B53" s="346"/>
      <c r="C53" s="346"/>
      <c r="D53" s="346"/>
      <c r="E53" s="346"/>
      <c r="F53" s="346"/>
      <c r="G53" s="346"/>
      <c r="H53" s="346"/>
      <c r="I53" s="346"/>
      <c r="J53" s="346"/>
      <c r="K53" s="346"/>
      <c r="L53" s="346"/>
      <c r="M53" s="346"/>
      <c r="N53" s="346"/>
      <c r="O53" s="351"/>
    </row>
    <row r="54" spans="1:15" x14ac:dyDescent="0.3">
      <c r="A54" s="474" t="s">
        <v>14</v>
      </c>
      <c r="B54" s="474" t="s">
        <v>36</v>
      </c>
      <c r="C54" s="474" t="s">
        <v>20</v>
      </c>
      <c r="D54" s="474" t="s">
        <v>21</v>
      </c>
      <c r="E54" s="474" t="s">
        <v>22</v>
      </c>
      <c r="F54" s="474" t="s">
        <v>23</v>
      </c>
      <c r="G54" s="474" t="s">
        <v>24</v>
      </c>
      <c r="H54" s="474" t="s">
        <v>25</v>
      </c>
      <c r="I54" s="474" t="s">
        <v>17</v>
      </c>
      <c r="J54" s="474" t="s">
        <v>18</v>
      </c>
      <c r="K54" s="346"/>
      <c r="L54" s="346"/>
      <c r="M54" s="346"/>
      <c r="N54" s="346"/>
      <c r="O54" s="351"/>
    </row>
    <row r="55" spans="1:15" x14ac:dyDescent="0.3">
      <c r="A55" s="396">
        <v>10</v>
      </c>
      <c r="B55" s="485" t="s">
        <v>296</v>
      </c>
      <c r="C55" s="396" t="s">
        <v>147</v>
      </c>
      <c r="D55" s="350">
        <f>0.8/105154*E55^2*G55*SQRT(G55)+(0.003*EXP(0.319*E55))</f>
        <v>0.16167651505774214</v>
      </c>
      <c r="E55" s="486">
        <v>8</v>
      </c>
      <c r="F55" s="485" t="s">
        <v>30</v>
      </c>
      <c r="G55" s="486">
        <v>40</v>
      </c>
      <c r="H55" s="485" t="s">
        <v>30</v>
      </c>
      <c r="I55" s="486">
        <v>2</v>
      </c>
      <c r="J55" s="350">
        <f>D55*I55</f>
        <v>0.32335303011548427</v>
      </c>
      <c r="K55" s="346"/>
      <c r="L55" s="346"/>
      <c r="M55" s="346"/>
      <c r="N55" s="346"/>
      <c r="O55" s="351"/>
    </row>
    <row r="56" spans="1:15" x14ac:dyDescent="0.3">
      <c r="A56" s="396">
        <v>20</v>
      </c>
      <c r="B56" s="485" t="s">
        <v>296</v>
      </c>
      <c r="C56" s="396" t="s">
        <v>148</v>
      </c>
      <c r="D56" s="350">
        <f>0.8/105154*E56^2*G56*SQRT(G56)+(0.003*EXP(0.319*E56))</f>
        <v>0.26479118861318168</v>
      </c>
      <c r="E56" s="486">
        <v>8</v>
      </c>
      <c r="F56" s="485" t="s">
        <v>30</v>
      </c>
      <c r="G56" s="486">
        <v>60</v>
      </c>
      <c r="H56" s="485" t="s">
        <v>30</v>
      </c>
      <c r="I56" s="486">
        <v>1</v>
      </c>
      <c r="J56" s="350">
        <f>D56*I56</f>
        <v>0.26479118861318168</v>
      </c>
      <c r="K56" s="346"/>
      <c r="L56" s="346"/>
      <c r="M56" s="346"/>
      <c r="N56" s="346"/>
      <c r="O56" s="351"/>
    </row>
    <row r="57" spans="1:15" x14ac:dyDescent="0.3">
      <c r="A57" s="396">
        <v>30</v>
      </c>
      <c r="B57" s="485" t="s">
        <v>297</v>
      </c>
      <c r="C57" s="396" t="s">
        <v>150</v>
      </c>
      <c r="D57" s="350">
        <f>(0.009*EXP(0.2*E57))</f>
        <v>4.4577291819556032E-2</v>
      </c>
      <c r="E57" s="486">
        <v>8</v>
      </c>
      <c r="F57" s="485" t="s">
        <v>30</v>
      </c>
      <c r="G57" s="486"/>
      <c r="H57" s="485"/>
      <c r="I57" s="486">
        <v>3</v>
      </c>
      <c r="J57" s="350">
        <f>D57*I57</f>
        <v>0.1337318754586681</v>
      </c>
      <c r="K57" s="346"/>
      <c r="L57" s="346"/>
      <c r="M57" s="346"/>
      <c r="N57" s="346"/>
      <c r="O57" s="351"/>
    </row>
    <row r="58" spans="1:15" x14ac:dyDescent="0.3">
      <c r="A58" s="396">
        <v>40</v>
      </c>
      <c r="B58" s="485" t="s">
        <v>298</v>
      </c>
      <c r="C58" s="396" t="s">
        <v>152</v>
      </c>
      <c r="D58" s="350">
        <v>0.01</v>
      </c>
      <c r="E58" s="486">
        <v>8</v>
      </c>
      <c r="F58" s="485" t="s">
        <v>30</v>
      </c>
      <c r="G58" s="486"/>
      <c r="H58" s="485"/>
      <c r="I58" s="486">
        <v>6</v>
      </c>
      <c r="J58" s="350">
        <f>D58*I58</f>
        <v>0.06</v>
      </c>
      <c r="K58" s="382"/>
      <c r="L58" s="382"/>
      <c r="M58" s="382"/>
      <c r="N58" s="382"/>
      <c r="O58" s="351"/>
    </row>
    <row r="59" spans="1:15" x14ac:dyDescent="0.3">
      <c r="A59" s="375"/>
      <c r="B59" s="376"/>
      <c r="C59" s="376"/>
      <c r="D59" s="376"/>
      <c r="E59" s="376"/>
      <c r="F59" s="376"/>
      <c r="G59" s="376"/>
      <c r="H59" s="376"/>
      <c r="I59" s="482" t="s">
        <v>18</v>
      </c>
      <c r="J59" s="483">
        <f>SUM(J55:J58)</f>
        <v>0.78187609418733417</v>
      </c>
      <c r="K59" s="346"/>
      <c r="L59" s="346"/>
      <c r="M59" s="346"/>
      <c r="N59" s="346"/>
      <c r="O59" s="351"/>
    </row>
    <row r="60" spans="1:15" x14ac:dyDescent="0.3">
      <c r="A60" s="379"/>
      <c r="B60" s="346"/>
      <c r="C60" s="346"/>
      <c r="D60" s="346"/>
      <c r="E60" s="346"/>
      <c r="F60" s="346"/>
      <c r="G60" s="346"/>
      <c r="H60" s="346"/>
      <c r="I60" s="346"/>
      <c r="J60" s="346"/>
      <c r="K60" s="346"/>
      <c r="L60" s="346"/>
      <c r="M60" s="346"/>
      <c r="N60" s="346"/>
      <c r="O60" s="351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7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0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85"/>
      <c r="B64" s="386"/>
      <c r="C64" s="386"/>
      <c r="D64" s="386"/>
      <c r="E64" s="386"/>
      <c r="F64" s="386"/>
      <c r="G64" s="386"/>
      <c r="H64" s="386"/>
      <c r="I64" s="386"/>
      <c r="J64" s="386"/>
      <c r="K64" s="386"/>
      <c r="L64" s="386"/>
      <c r="M64" s="386"/>
      <c r="N64" s="386"/>
      <c r="O64" s="387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0866141732283472" right="0.70866141732283472" top="0.74803149606299213" bottom="0.74803149606299213" header="0.31496062992125984" footer="0.31496062992125984"/>
  <pageSetup paperSize="9" scale="58" firstPageNumber="0" fitToHeight="99" orientation="landscape" r:id="rId1"/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view="pageLayout" zoomScale="70" zoomScaleNormal="106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08">
        <v>10</v>
      </c>
      <c r="B11" s="509" t="s">
        <v>273</v>
      </c>
      <c r="C11" s="508" t="s">
        <v>299</v>
      </c>
      <c r="D11" s="510">
        <v>4.2</v>
      </c>
      <c r="E11" s="511"/>
      <c r="F11" s="508"/>
      <c r="G11" s="508"/>
      <c r="H11" s="512"/>
      <c r="I11" s="318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1" customFormat="1" ht="28.8" x14ac:dyDescent="0.3">
      <c r="A15" s="513">
        <v>10</v>
      </c>
      <c r="B15" s="330" t="s">
        <v>39</v>
      </c>
      <c r="C15" s="514"/>
      <c r="D15" s="515">
        <v>1.3</v>
      </c>
      <c r="E15" s="330" t="s">
        <v>32</v>
      </c>
      <c r="F15" s="514">
        <v>1</v>
      </c>
      <c r="G15" s="514"/>
      <c r="H15" s="514"/>
      <c r="I15" s="516">
        <f t="shared" ref="I15:I22" si="0">IF(H15="",D15*F15,D15*F15*H15)</f>
        <v>1.3</v>
      </c>
      <c r="J15" s="519"/>
      <c r="K15" s="519"/>
      <c r="L15" s="519"/>
      <c r="M15" s="519"/>
      <c r="N15" s="519"/>
      <c r="O15" s="520"/>
    </row>
    <row r="16" spans="1:19" s="521" customFormat="1" ht="28.8" customHeight="1" x14ac:dyDescent="0.3">
      <c r="A16" s="316">
        <v>20</v>
      </c>
      <c r="B16" s="330" t="s">
        <v>159</v>
      </c>
      <c r="C16" s="517" t="s">
        <v>302</v>
      </c>
      <c r="D16" s="299">
        <v>0.04</v>
      </c>
      <c r="E16" s="316" t="s">
        <v>161</v>
      </c>
      <c r="F16" s="288">
        <v>30</v>
      </c>
      <c r="G16" s="330" t="s">
        <v>264</v>
      </c>
      <c r="H16" s="518">
        <v>1</v>
      </c>
      <c r="I16" s="300">
        <f t="shared" si="0"/>
        <v>1.2</v>
      </c>
      <c r="J16" s="522"/>
      <c r="K16" s="522"/>
      <c r="L16" s="522"/>
      <c r="M16" s="522"/>
      <c r="N16" s="522"/>
      <c r="O16" s="523"/>
    </row>
    <row r="17" spans="1:15" s="521" customFormat="1" ht="16.2" customHeight="1" x14ac:dyDescent="0.3">
      <c r="A17" s="513">
        <v>30</v>
      </c>
      <c r="B17" s="330" t="s">
        <v>158</v>
      </c>
      <c r="C17" s="514"/>
      <c r="D17" s="515">
        <v>0.65</v>
      </c>
      <c r="E17" s="330" t="s">
        <v>32</v>
      </c>
      <c r="F17" s="514">
        <v>1</v>
      </c>
      <c r="G17" s="514"/>
      <c r="H17" s="514"/>
      <c r="I17" s="516">
        <f t="shared" si="0"/>
        <v>0.65</v>
      </c>
      <c r="J17" s="524"/>
      <c r="K17" s="524"/>
      <c r="L17" s="524"/>
      <c r="M17" s="524"/>
      <c r="N17" s="524"/>
      <c r="O17" s="525"/>
    </row>
    <row r="18" spans="1:15" s="521" customFormat="1" ht="32.4" customHeight="1" x14ac:dyDescent="0.3">
      <c r="A18" s="316">
        <v>40</v>
      </c>
      <c r="B18" s="330" t="s">
        <v>159</v>
      </c>
      <c r="C18" s="517" t="s">
        <v>257</v>
      </c>
      <c r="D18" s="299">
        <v>0.04</v>
      </c>
      <c r="E18" s="316" t="s">
        <v>161</v>
      </c>
      <c r="F18" s="288">
        <v>2.2999999999999998</v>
      </c>
      <c r="G18" s="330" t="s">
        <v>264</v>
      </c>
      <c r="H18" s="518">
        <v>1</v>
      </c>
      <c r="I18" s="300">
        <f t="shared" si="0"/>
        <v>9.1999999999999998E-2</v>
      </c>
      <c r="J18" s="522"/>
      <c r="K18" s="522"/>
      <c r="L18" s="522"/>
      <c r="M18" s="522"/>
      <c r="N18" s="522"/>
      <c r="O18" s="523"/>
    </row>
    <row r="19" spans="1:15" s="521" customFormat="1" ht="15.6" customHeight="1" x14ac:dyDescent="0.3">
      <c r="A19" s="513">
        <v>50</v>
      </c>
      <c r="B19" s="330" t="s">
        <v>158</v>
      </c>
      <c r="C19" s="514"/>
      <c r="D19" s="515">
        <v>0.65</v>
      </c>
      <c r="E19" s="330" t="s">
        <v>32</v>
      </c>
      <c r="F19" s="514">
        <v>1</v>
      </c>
      <c r="G19" s="514"/>
      <c r="H19" s="514"/>
      <c r="I19" s="516">
        <f t="shared" si="0"/>
        <v>0.65</v>
      </c>
      <c r="J19" s="522"/>
      <c r="K19" s="522"/>
      <c r="L19" s="522"/>
      <c r="M19" s="522"/>
      <c r="N19" s="522"/>
      <c r="O19" s="523"/>
    </row>
    <row r="20" spans="1:15" s="521" customFormat="1" ht="28.2" customHeight="1" x14ac:dyDescent="0.3">
      <c r="A20" s="316">
        <v>60</v>
      </c>
      <c r="B20" s="330" t="s">
        <v>159</v>
      </c>
      <c r="C20" s="517" t="s">
        <v>258</v>
      </c>
      <c r="D20" s="299">
        <v>0.04</v>
      </c>
      <c r="E20" s="316" t="s">
        <v>161</v>
      </c>
      <c r="F20" s="288">
        <v>2.2999999999999998</v>
      </c>
      <c r="G20" s="330" t="s">
        <v>264</v>
      </c>
      <c r="H20" s="518">
        <v>1</v>
      </c>
      <c r="I20" s="300">
        <f t="shared" si="0"/>
        <v>9.1999999999999998E-2</v>
      </c>
      <c r="J20" s="522"/>
      <c r="K20" s="522"/>
      <c r="L20" s="522"/>
      <c r="M20" s="522"/>
      <c r="N20" s="522"/>
      <c r="O20" s="523"/>
    </row>
    <row r="21" spans="1:15" s="521" customFormat="1" ht="18" customHeight="1" x14ac:dyDescent="0.3">
      <c r="A21" s="513">
        <v>70</v>
      </c>
      <c r="B21" s="330" t="s">
        <v>158</v>
      </c>
      <c r="C21" s="514"/>
      <c r="D21" s="515">
        <v>0.65</v>
      </c>
      <c r="E21" s="330" t="s">
        <v>32</v>
      </c>
      <c r="F21" s="514">
        <v>1</v>
      </c>
      <c r="G21" s="514"/>
      <c r="H21" s="514"/>
      <c r="I21" s="516">
        <f t="shared" si="0"/>
        <v>0.65</v>
      </c>
      <c r="J21" s="526"/>
      <c r="K21" s="526"/>
      <c r="L21" s="526"/>
      <c r="M21" s="526"/>
      <c r="N21" s="526"/>
      <c r="O21" s="523"/>
    </row>
    <row r="22" spans="1:15" s="521" customFormat="1" ht="27.6" customHeight="1" x14ac:dyDescent="0.3">
      <c r="A22" s="316">
        <v>80</v>
      </c>
      <c r="B22" s="330" t="s">
        <v>159</v>
      </c>
      <c r="C22" s="517" t="s">
        <v>300</v>
      </c>
      <c r="D22" s="299">
        <v>0.04</v>
      </c>
      <c r="E22" s="316" t="s">
        <v>161</v>
      </c>
      <c r="F22" s="288">
        <v>7</v>
      </c>
      <c r="G22" s="330" t="s">
        <v>264</v>
      </c>
      <c r="H22" s="518">
        <v>1</v>
      </c>
      <c r="I22" s="300">
        <f t="shared" si="0"/>
        <v>0.28000000000000003</v>
      </c>
      <c r="J22" s="527"/>
      <c r="K22" s="522"/>
      <c r="L22" s="522"/>
      <c r="M22" s="522"/>
      <c r="N22" s="522"/>
      <c r="O22" s="523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76" firstPageNumber="0" fitToHeight="99" orientation="landscape" r:id="rId1"/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3">
        <f>4.2</f>
        <v>4.2</v>
      </c>
      <c r="E11" s="263">
        <f>J11*K11*L11</f>
        <v>0.20437632</v>
      </c>
      <c r="F11" s="20" t="s">
        <v>162</v>
      </c>
      <c r="G11" s="20"/>
      <c r="H11" s="284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3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2">
        <v>10</v>
      </c>
      <c r="B15" s="333" t="s">
        <v>39</v>
      </c>
      <c r="C15" s="332"/>
      <c r="D15" s="334">
        <v>1.3</v>
      </c>
      <c r="E15" s="333" t="s">
        <v>32</v>
      </c>
      <c r="F15" s="332">
        <v>1</v>
      </c>
      <c r="G15" s="332" t="s">
        <v>295</v>
      </c>
      <c r="H15" s="332">
        <v>0.5</v>
      </c>
      <c r="I15" s="335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36">
        <v>20</v>
      </c>
      <c r="B16" s="333" t="s">
        <v>159</v>
      </c>
      <c r="C16" s="337" t="s">
        <v>263</v>
      </c>
      <c r="D16" s="338">
        <v>0.04</v>
      </c>
      <c r="E16" s="336" t="s">
        <v>161</v>
      </c>
      <c r="F16" s="339">
        <v>17</v>
      </c>
      <c r="G16" s="333" t="s">
        <v>264</v>
      </c>
      <c r="H16" s="237">
        <v>1</v>
      </c>
      <c r="I16" s="340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2">
        <v>30</v>
      </c>
      <c r="B17" s="333" t="s">
        <v>158</v>
      </c>
      <c r="C17" s="332"/>
      <c r="D17" s="334">
        <v>0.65</v>
      </c>
      <c r="E17" s="333" t="s">
        <v>32</v>
      </c>
      <c r="F17" s="332">
        <v>1</v>
      </c>
      <c r="G17" s="332" t="s">
        <v>295</v>
      </c>
      <c r="H17" s="332">
        <v>0.5</v>
      </c>
      <c r="I17" s="335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36">
        <v>40</v>
      </c>
      <c r="B18" s="333" t="s">
        <v>159</v>
      </c>
      <c r="C18" s="337" t="s">
        <v>265</v>
      </c>
      <c r="D18" s="338">
        <v>0.04</v>
      </c>
      <c r="E18" s="336" t="s">
        <v>161</v>
      </c>
      <c r="F18" s="339">
        <v>2</v>
      </c>
      <c r="G18" s="333" t="s">
        <v>264</v>
      </c>
      <c r="H18" s="237">
        <v>1</v>
      </c>
      <c r="I18" s="340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2">
        <v>50</v>
      </c>
      <c r="B19" s="333" t="s">
        <v>158</v>
      </c>
      <c r="C19" s="332"/>
      <c r="D19" s="334">
        <v>0.65</v>
      </c>
      <c r="E19" s="333" t="s">
        <v>32</v>
      </c>
      <c r="F19" s="332">
        <v>1</v>
      </c>
      <c r="G19" s="332"/>
      <c r="H19" s="332"/>
      <c r="I19" s="335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36">
        <v>60</v>
      </c>
      <c r="B20" s="333" t="s">
        <v>159</v>
      </c>
      <c r="C20" s="337" t="s">
        <v>266</v>
      </c>
      <c r="D20" s="338">
        <v>0.04</v>
      </c>
      <c r="E20" s="336" t="s">
        <v>161</v>
      </c>
      <c r="F20" s="339">
        <v>2.2999999999999998</v>
      </c>
      <c r="G20" s="333" t="s">
        <v>264</v>
      </c>
      <c r="H20" s="237">
        <v>1</v>
      </c>
      <c r="I20" s="340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67" fitToHeight="99" orientation="landscape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view="pageLayout" zoomScale="70" zoomScaleNormal="106" zoomScalePageLayoutView="70" workbookViewId="0">
      <selection activeCell="E32" sqref="E32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28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62" fitToHeight="9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tabSelected="1" view="pageLayout" zoomScale="70" zoomScaleNormal="9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87.573644973387331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175.14728994677466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65" t="str">
        <f>'SU 01007'!B5</f>
        <v>Outboard A-arm Insert</v>
      </c>
      <c r="C16" s="468">
        <f>'SU 01007'!N2</f>
        <v>0.47719727680000001</v>
      </c>
      <c r="D16" s="467">
        <f>SU_01007_q</f>
        <v>2</v>
      </c>
      <c r="E16" s="469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66" t="str">
        <f>'SU 01008'!B5</f>
        <v>Front up bracket</v>
      </c>
      <c r="C17" s="468">
        <f>'SU 01008'!N2</f>
        <v>1.3930602499999998</v>
      </c>
      <c r="D17" s="467">
        <f>SU_01008_q</f>
        <v>1</v>
      </c>
      <c r="E17" s="469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66" t="str">
        <f>'SU 01009'!B5</f>
        <v>Front down bracket</v>
      </c>
      <c r="C18" s="468">
        <f>'SU 01009'!N2</f>
        <v>1.3590899374999998</v>
      </c>
      <c r="D18" s="467">
        <f>SU_01009_q</f>
        <v>1</v>
      </c>
      <c r="E18" s="469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66" t="str">
        <f>'SU 01010'!B5</f>
        <v>Rear up bracket</v>
      </c>
      <c r="C19" s="468">
        <f>'SU 01010'!N2</f>
        <v>1.3143274375</v>
      </c>
      <c r="D19" s="467">
        <f>SU_01010_q</f>
        <v>1</v>
      </c>
      <c r="E19" s="469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66" t="str">
        <f>'SU 01011'!B5</f>
        <v>Rear down bracket</v>
      </c>
      <c r="C20" s="468">
        <f>'SU 01011'!N2</f>
        <v>0.37972487499999996</v>
      </c>
      <c r="D20" s="467">
        <f>SU_01011_q</f>
        <v>1</v>
      </c>
      <c r="E20" s="469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1"/>
      <c r="F25" s="571">
        <v>95</v>
      </c>
      <c r="G25" s="571"/>
      <c r="H25" s="241"/>
      <c r="I25" s="572"/>
      <c r="J25" s="573"/>
      <c r="K25" s="574"/>
      <c r="L25" s="243"/>
      <c r="M25" s="242"/>
      <c r="N25" s="240">
        <f>M25*D25</f>
        <v>0</v>
      </c>
      <c r="O25" s="66"/>
    </row>
    <row r="26" spans="1:15" ht="31.8" customHeight="1" x14ac:dyDescent="0.3">
      <c r="A26" s="576">
        <v>30</v>
      </c>
      <c r="B26" s="577" t="s">
        <v>136</v>
      </c>
      <c r="C26" s="578" t="s">
        <v>138</v>
      </c>
      <c r="D26" s="579"/>
      <c r="E26" s="576"/>
      <c r="F26" s="576"/>
      <c r="G26" s="576"/>
      <c r="H26" s="580"/>
      <c r="I26" s="581"/>
      <c r="J26" s="582"/>
      <c r="K26" s="580"/>
      <c r="L26" s="583"/>
      <c r="M26" s="580"/>
      <c r="N26" s="579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75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0866141732283472" right="0.70866141732283472" top="0.74803149606299213" bottom="0.74803149606299213" header="0.31496062992125984" footer="0.31496062992125984"/>
  <pageSetup paperSize="9" scale="59" firstPageNumber="0" fitToHeight="99" orientation="landscape" r:id="rId1"/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55" fitToHeight="99" orientation="landscape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9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29"/>
      <c r="B1" s="530"/>
      <c r="C1" s="530"/>
      <c r="D1" s="530"/>
      <c r="E1" s="530"/>
      <c r="F1" s="530"/>
      <c r="G1" s="530"/>
      <c r="H1" s="530"/>
      <c r="I1" s="530"/>
      <c r="J1" s="530"/>
      <c r="K1" s="530"/>
      <c r="L1" s="530"/>
      <c r="M1" s="530"/>
      <c r="N1" s="530"/>
      <c r="O1" s="531"/>
    </row>
    <row r="2" spans="1:17" x14ac:dyDescent="0.3">
      <c r="A2" s="429" t="s">
        <v>0</v>
      </c>
      <c r="B2" s="428" t="s">
        <v>37</v>
      </c>
      <c r="C2" s="461"/>
      <c r="D2" s="461"/>
      <c r="E2" s="461"/>
      <c r="F2" s="461"/>
      <c r="G2" s="431" t="s">
        <v>126</v>
      </c>
      <c r="H2" s="461"/>
      <c r="I2" s="461"/>
      <c r="J2" s="532" t="s">
        <v>1</v>
      </c>
      <c r="K2" s="533">
        <v>81</v>
      </c>
      <c r="L2" s="461"/>
      <c r="M2" s="429" t="s">
        <v>16</v>
      </c>
      <c r="N2" s="534">
        <f>N12+I18</f>
        <v>1.0541703760000001</v>
      </c>
      <c r="O2" s="535"/>
    </row>
    <row r="3" spans="1:17" x14ac:dyDescent="0.3">
      <c r="A3" s="429" t="s">
        <v>3</v>
      </c>
      <c r="B3" s="428" t="str">
        <f>'SU A0200'!B3</f>
        <v>Suspension &amp; Shocks</v>
      </c>
      <c r="C3" s="461"/>
      <c r="D3" s="429" t="s">
        <v>6</v>
      </c>
      <c r="E3" s="536" t="s">
        <v>86</v>
      </c>
      <c r="F3" s="461"/>
      <c r="G3" s="461"/>
      <c r="H3" s="461"/>
      <c r="I3" s="461"/>
      <c r="J3" s="461"/>
      <c r="K3" s="461"/>
      <c r="L3" s="461"/>
      <c r="M3" s="429" t="s">
        <v>4</v>
      </c>
      <c r="N3" s="537">
        <v>2</v>
      </c>
      <c r="O3" s="535"/>
    </row>
    <row r="4" spans="1:17" x14ac:dyDescent="0.3">
      <c r="A4" s="429" t="s">
        <v>5</v>
      </c>
      <c r="B4" s="431" t="s">
        <v>176</v>
      </c>
      <c r="C4" s="461"/>
      <c r="D4" s="429" t="s">
        <v>8</v>
      </c>
      <c r="E4" s="461"/>
      <c r="F4" s="461"/>
      <c r="G4" s="461"/>
      <c r="H4" s="461"/>
      <c r="I4" s="461"/>
      <c r="J4" s="538" t="s">
        <v>6</v>
      </c>
      <c r="K4" s="461"/>
      <c r="L4" s="461"/>
      <c r="M4" s="461"/>
      <c r="N4" s="461"/>
      <c r="O4" s="535"/>
    </row>
    <row r="5" spans="1:17" x14ac:dyDescent="0.3">
      <c r="A5" s="429" t="s">
        <v>15</v>
      </c>
      <c r="B5" s="539" t="s">
        <v>193</v>
      </c>
      <c r="C5" s="461"/>
      <c r="D5" s="429" t="s">
        <v>12</v>
      </c>
      <c r="E5" s="461"/>
      <c r="F5" s="461"/>
      <c r="G5" s="461"/>
      <c r="H5" s="461"/>
      <c r="I5" s="461"/>
      <c r="J5" s="538" t="s">
        <v>8</v>
      </c>
      <c r="K5" s="461"/>
      <c r="L5" s="461"/>
      <c r="M5" s="429" t="s">
        <v>9</v>
      </c>
      <c r="N5" s="534">
        <f>N3*N2</f>
        <v>2.1083407520000002</v>
      </c>
      <c r="O5" s="535"/>
    </row>
    <row r="6" spans="1:17" x14ac:dyDescent="0.3">
      <c r="A6" s="429" t="s">
        <v>7</v>
      </c>
      <c r="B6" s="433" t="s">
        <v>184</v>
      </c>
      <c r="C6" s="461"/>
      <c r="D6" s="461"/>
      <c r="E6" s="461"/>
      <c r="F6" s="461"/>
      <c r="G6" s="461"/>
      <c r="H6" s="461"/>
      <c r="I6" s="461"/>
      <c r="J6" s="538" t="s">
        <v>12</v>
      </c>
      <c r="K6" s="461"/>
      <c r="L6" s="461"/>
      <c r="M6" s="461"/>
      <c r="N6" s="461"/>
      <c r="O6" s="535"/>
    </row>
    <row r="7" spans="1:17" x14ac:dyDescent="0.3">
      <c r="A7" s="429" t="s">
        <v>10</v>
      </c>
      <c r="B7" s="428"/>
      <c r="C7" s="461"/>
      <c r="D7" s="461"/>
      <c r="E7" s="461"/>
      <c r="F7" s="461"/>
      <c r="G7" s="461"/>
      <c r="H7" s="461"/>
      <c r="I7" s="461"/>
      <c r="J7" s="461"/>
      <c r="K7" s="461"/>
      <c r="L7" s="461"/>
      <c r="M7" s="461"/>
      <c r="N7" s="461"/>
      <c r="O7" s="535"/>
    </row>
    <row r="8" spans="1:17" x14ac:dyDescent="0.3">
      <c r="A8" s="429" t="s">
        <v>13</v>
      </c>
      <c r="B8" s="428"/>
      <c r="C8" s="461"/>
      <c r="D8" s="461"/>
      <c r="E8" s="461"/>
      <c r="F8" s="461"/>
      <c r="G8" s="461"/>
      <c r="H8" s="461"/>
      <c r="I8" s="461"/>
      <c r="J8" s="461"/>
      <c r="K8" s="461"/>
      <c r="L8" s="461"/>
      <c r="M8" s="461"/>
      <c r="N8" s="461"/>
      <c r="O8" s="535"/>
    </row>
    <row r="9" spans="1:17" x14ac:dyDescent="0.3">
      <c r="A9" s="540"/>
      <c r="B9" s="541"/>
      <c r="C9" s="541"/>
      <c r="D9" s="541"/>
      <c r="E9" s="541"/>
      <c r="F9" s="461"/>
      <c r="G9" s="461"/>
      <c r="H9" s="461"/>
      <c r="I9" s="461"/>
      <c r="J9" s="461"/>
      <c r="K9" s="461"/>
      <c r="L9" s="461"/>
      <c r="M9" s="461"/>
      <c r="N9" s="461"/>
      <c r="O9" s="535"/>
    </row>
    <row r="10" spans="1:17" x14ac:dyDescent="0.3">
      <c r="A10" s="542" t="s">
        <v>14</v>
      </c>
      <c r="B10" s="543" t="s">
        <v>19</v>
      </c>
      <c r="C10" s="543" t="s">
        <v>20</v>
      </c>
      <c r="D10" s="543" t="s">
        <v>21</v>
      </c>
      <c r="E10" s="543" t="s">
        <v>22</v>
      </c>
      <c r="F10" s="544" t="s">
        <v>23</v>
      </c>
      <c r="G10" s="544" t="s">
        <v>24</v>
      </c>
      <c r="H10" s="544" t="s">
        <v>25</v>
      </c>
      <c r="I10" s="544" t="s">
        <v>26</v>
      </c>
      <c r="J10" s="544" t="s">
        <v>27</v>
      </c>
      <c r="K10" s="544" t="s">
        <v>28</v>
      </c>
      <c r="L10" s="544" t="s">
        <v>29</v>
      </c>
      <c r="M10" s="544" t="s">
        <v>17</v>
      </c>
      <c r="N10" s="544" t="s">
        <v>18</v>
      </c>
      <c r="O10" s="535"/>
    </row>
    <row r="11" spans="1:17" x14ac:dyDescent="0.3">
      <c r="A11" s="545">
        <v>10</v>
      </c>
      <c r="B11" s="546" t="s">
        <v>166</v>
      </c>
      <c r="C11" s="547" t="s">
        <v>38</v>
      </c>
      <c r="D11" s="548">
        <v>2.25</v>
      </c>
      <c r="E11" s="549">
        <f>J11*K11*L11/1000000000</f>
        <v>1.3409056000000001E-2</v>
      </c>
      <c r="F11" s="547" t="s">
        <v>162</v>
      </c>
      <c r="G11" s="547"/>
      <c r="H11" s="550"/>
      <c r="I11" s="551" t="s">
        <v>165</v>
      </c>
      <c r="J11" s="552">
        <f>3.14*8*8</f>
        <v>200.96</v>
      </c>
      <c r="K11" s="553">
        <v>8.5</v>
      </c>
      <c r="L11" s="554">
        <v>7850</v>
      </c>
      <c r="M11" s="555">
        <v>1</v>
      </c>
      <c r="N11" s="548">
        <f>D11*E11</f>
        <v>3.0170376000000002E-2</v>
      </c>
      <c r="O11" s="556"/>
      <c r="Q11" s="135"/>
    </row>
    <row r="12" spans="1:17" x14ac:dyDescent="0.3">
      <c r="A12" s="557"/>
      <c r="B12" s="558"/>
      <c r="C12" s="558"/>
      <c r="D12" s="558"/>
      <c r="E12" s="558"/>
      <c r="F12" s="558"/>
      <c r="G12" s="558"/>
      <c r="H12" s="558"/>
      <c r="I12" s="558"/>
      <c r="J12" s="558"/>
      <c r="K12" s="558"/>
      <c r="L12" s="558"/>
      <c r="M12" s="559" t="s">
        <v>18</v>
      </c>
      <c r="N12" s="560">
        <f>SUM(N11:N11)</f>
        <v>3.0170376000000002E-2</v>
      </c>
      <c r="O12" s="535"/>
    </row>
    <row r="13" spans="1:17" x14ac:dyDescent="0.3">
      <c r="A13" s="561"/>
      <c r="B13" s="461"/>
      <c r="C13" s="461"/>
      <c r="D13" s="461"/>
      <c r="E13" s="461"/>
      <c r="F13" s="461"/>
      <c r="G13" s="461"/>
      <c r="H13" s="461"/>
      <c r="I13" s="461"/>
      <c r="J13" s="461"/>
      <c r="K13" s="461"/>
      <c r="L13" s="461"/>
      <c r="M13" s="461"/>
      <c r="N13" s="461"/>
      <c r="O13" s="535"/>
    </row>
    <row r="14" spans="1:17" x14ac:dyDescent="0.3">
      <c r="A14" s="562" t="s">
        <v>14</v>
      </c>
      <c r="B14" s="544" t="s">
        <v>31</v>
      </c>
      <c r="C14" s="544" t="s">
        <v>20</v>
      </c>
      <c r="D14" s="544" t="s">
        <v>21</v>
      </c>
      <c r="E14" s="544" t="s">
        <v>32</v>
      </c>
      <c r="F14" s="544" t="s">
        <v>17</v>
      </c>
      <c r="G14" s="544" t="s">
        <v>33</v>
      </c>
      <c r="H14" s="544" t="s">
        <v>34</v>
      </c>
      <c r="I14" s="544" t="s">
        <v>18</v>
      </c>
      <c r="J14" s="558"/>
      <c r="K14" s="558"/>
      <c r="L14" s="558"/>
      <c r="M14" s="558"/>
      <c r="N14" s="558"/>
      <c r="O14" s="535"/>
    </row>
    <row r="15" spans="1:17" ht="31.2" customHeight="1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7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0.2</v>
      </c>
      <c r="G16" s="391" t="s">
        <v>268</v>
      </c>
      <c r="H16" s="391">
        <v>3</v>
      </c>
      <c r="I16" s="340">
        <f>IF(H16="",D16*F16,D16*F16*H16)</f>
        <v>2.4E-2</v>
      </c>
      <c r="J16" s="346"/>
      <c r="K16" s="346"/>
      <c r="L16" s="346"/>
      <c r="M16" s="346"/>
      <c r="N16" s="346"/>
      <c r="O16" s="351"/>
    </row>
    <row r="17" spans="1:15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5" x14ac:dyDescent="0.3">
      <c r="A18" s="557"/>
      <c r="B18" s="558"/>
      <c r="C18" s="558"/>
      <c r="D18" s="558"/>
      <c r="E18" s="558"/>
      <c r="F18" s="558"/>
      <c r="G18" s="558"/>
      <c r="H18" s="563" t="s">
        <v>18</v>
      </c>
      <c r="I18" s="560">
        <f>SUM(I15:I17)</f>
        <v>1.024</v>
      </c>
      <c r="J18" s="558"/>
      <c r="K18" s="558"/>
      <c r="L18" s="558"/>
      <c r="M18" s="558"/>
      <c r="N18" s="558"/>
      <c r="O18" s="535"/>
    </row>
    <row r="19" spans="1:15" ht="15" thickBot="1" x14ac:dyDescent="0.35">
      <c r="A19" s="564"/>
      <c r="B19" s="565"/>
      <c r="C19" s="565"/>
      <c r="D19" s="565"/>
      <c r="E19" s="565"/>
      <c r="F19" s="565"/>
      <c r="G19" s="565"/>
      <c r="H19" s="565"/>
      <c r="I19" s="565"/>
      <c r="J19" s="565"/>
      <c r="K19" s="565"/>
      <c r="L19" s="565"/>
      <c r="M19" s="565"/>
      <c r="N19" s="565"/>
      <c r="O19" s="566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62" fitToHeight="99" orientation="landscape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90" zoomScalePageLayoutView="70" workbookViewId="0">
      <selection activeCell="E32" sqref="E3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16">
        <v>10</v>
      </c>
      <c r="B11" s="517" t="s">
        <v>278</v>
      </c>
      <c r="C11" s="567"/>
      <c r="D11" s="568">
        <v>2.25</v>
      </c>
      <c r="E11" s="368">
        <f>J11*K11*L11</f>
        <v>6.3101440000000009E-2</v>
      </c>
      <c r="F11" s="366" t="s">
        <v>162</v>
      </c>
      <c r="G11" s="366"/>
      <c r="H11" s="367"/>
      <c r="I11" s="368" t="s">
        <v>165</v>
      </c>
      <c r="J11" s="369">
        <f>3.14*8*8/1000000</f>
        <v>2.0096E-4</v>
      </c>
      <c r="K11" s="395">
        <v>0.04</v>
      </c>
      <c r="L11" s="371">
        <v>7850</v>
      </c>
      <c r="M11" s="372">
        <v>1</v>
      </c>
      <c r="N11" s="373">
        <f>D11*E11*M11</f>
        <v>0.14197824000000003</v>
      </c>
      <c r="O11" s="374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5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0.11</v>
      </c>
      <c r="G16" s="391" t="s">
        <v>268</v>
      </c>
      <c r="H16" s="391">
        <v>3</v>
      </c>
      <c r="I16" s="340">
        <f>IF(H16="",D16*F16,D16*F16*H16)</f>
        <v>1.32E-2</v>
      </c>
      <c r="J16" s="346"/>
      <c r="K16" s="346"/>
      <c r="L16" s="346"/>
      <c r="M16" s="346"/>
      <c r="N16" s="346"/>
      <c r="O16" s="351"/>
    </row>
    <row r="17" spans="1:15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75" fitToHeight="99" orientation="landscape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view="pageLayout" zoomScale="70" zoomScaleNormal="90" zoomScalePageLayoutView="70" workbookViewId="0">
      <selection activeCell="E32" sqref="E3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7" s="184" customFormat="1" ht="17.399999999999999" customHeight="1" x14ac:dyDescent="0.3">
      <c r="A11" s="397">
        <v>10</v>
      </c>
      <c r="B11" s="398" t="s">
        <v>273</v>
      </c>
      <c r="C11" s="397" t="s">
        <v>274</v>
      </c>
      <c r="D11" s="399">
        <v>4.2</v>
      </c>
      <c r="E11" s="400">
        <v>12</v>
      </c>
      <c r="F11" s="397" t="s">
        <v>30</v>
      </c>
      <c r="G11" s="397"/>
      <c r="H11" s="401"/>
      <c r="I11" s="402" t="s">
        <v>275</v>
      </c>
      <c r="J11" s="403">
        <f>3.14*0.006^2</f>
        <v>1.1304E-4</v>
      </c>
      <c r="K11" s="404">
        <v>0.06</v>
      </c>
      <c r="L11" s="409">
        <v>2710</v>
      </c>
      <c r="M11" s="405">
        <v>1</v>
      </c>
      <c r="N11" s="340">
        <f>IF(J11="",D11*M11,D11*J11*K11*L11*M11)</f>
        <v>7.7197276800000006E-2</v>
      </c>
      <c r="O11" s="410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36">
        <v>10</v>
      </c>
      <c r="B15" s="333" t="s">
        <v>272</v>
      </c>
      <c r="C15" s="406"/>
      <c r="D15" s="407">
        <v>0.4</v>
      </c>
      <c r="E15" s="336" t="s">
        <v>40</v>
      </c>
      <c r="F15" s="336">
        <v>1</v>
      </c>
      <c r="G15" s="336"/>
      <c r="H15" s="336"/>
      <c r="I15" s="408">
        <f>IF(H15="",D15*F15,D15*F15*H15)</f>
        <v>0.4</v>
      </c>
      <c r="J15" s="382"/>
      <c r="K15" s="382"/>
      <c r="L15" s="382"/>
      <c r="M15" s="382"/>
      <c r="N15" s="382"/>
      <c r="O15" s="383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0866141732283472" right="0.70866141732283472" top="0.74803149606299213" bottom="0.74803149606299213" header="0.31496062992125984" footer="0.31496062992125984"/>
  <pageSetup paperSize="9" scale="96" fitToHeight="99" orientation="landscape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1.3868720000000001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281" t="s">
        <v>176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289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1.3868720000000001</v>
      </c>
      <c r="O5" s="430"/>
    </row>
    <row r="6" spans="1:15" x14ac:dyDescent="0.3">
      <c r="A6" s="427" t="s">
        <v>7</v>
      </c>
      <c r="B6" s="433" t="s">
        <v>303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30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4.5215999999999999E-2</v>
      </c>
      <c r="F11" s="439" t="s">
        <v>212</v>
      </c>
      <c r="G11" s="439"/>
      <c r="H11" s="440"/>
      <c r="I11" s="441" t="s">
        <v>309</v>
      </c>
      <c r="J11" s="442">
        <f>0.048*0.024</f>
        <v>1.152E-3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0.10173600000000001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2.3040000000000001E-3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2.3040000000000001E-2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0.12477600000000001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44.4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15.5</v>
      </c>
      <c r="G17" s="447"/>
      <c r="H17" s="450"/>
      <c r="I17" s="451">
        <f>IF(H17="",D17*F17,D17*F17*H17)</f>
        <v>0.155</v>
      </c>
      <c r="J17" s="305"/>
      <c r="K17" s="411"/>
      <c r="L17" s="411"/>
      <c r="M17" s="411"/>
      <c r="N17" s="411"/>
      <c r="O17" s="430"/>
    </row>
    <row r="18" spans="1:15" ht="43.2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ht="28.8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2.3040000000000001E-3</v>
      </c>
      <c r="G20" s="447"/>
      <c r="H20" s="450"/>
      <c r="I20" s="458">
        <f>F20*D20</f>
        <v>1.2096000000000001E-2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1.2620960000000001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0866141732283472" right="0.70866141732283472" top="0.74803149606299213" bottom="0.74803149606299213" header="0.31496062992125984" footer="0.31496062992125984"/>
  <pageSetup paperSize="9" scale="71" fitToHeight="99" orientation="landscape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1" t="s">
        <v>303</v>
      </c>
    </row>
  </sheetData>
  <hyperlinks>
    <hyperlink ref="B1" location="SU_02008" display="SU_02008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1.4357435000000001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281" t="s">
        <v>176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290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1.4357435000000001</v>
      </c>
      <c r="O5" s="430"/>
    </row>
    <row r="6" spans="1:15" x14ac:dyDescent="0.3">
      <c r="A6" s="427" t="s">
        <v>7</v>
      </c>
      <c r="B6" s="433" t="s">
        <v>305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30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5.8717999999999999E-2</v>
      </c>
      <c r="F11" s="439" t="s">
        <v>212</v>
      </c>
      <c r="G11" s="439"/>
      <c r="H11" s="440"/>
      <c r="I11" s="441" t="s">
        <v>310</v>
      </c>
      <c r="J11" s="442">
        <f>0.068*0.022</f>
        <v>1.4959999999999999E-3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0.1321155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2.9919999999999999E-3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2.9919999999999999E-2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0.1620355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57.6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16.3</v>
      </c>
      <c r="G17" s="447"/>
      <c r="H17" s="450"/>
      <c r="I17" s="451">
        <f>IF(H17="",D17*F17,D17*F17*H17)</f>
        <v>0.16300000000000001</v>
      </c>
      <c r="J17" s="305"/>
      <c r="K17" s="411"/>
      <c r="L17" s="411"/>
      <c r="M17" s="411"/>
      <c r="N17" s="411"/>
      <c r="O17" s="430"/>
    </row>
    <row r="18" spans="1:15" ht="43.2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ht="28.8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2.9919999999999999E-3</v>
      </c>
      <c r="G20" s="447"/>
      <c r="H20" s="450"/>
      <c r="I20" s="458">
        <f>F20*D20</f>
        <v>1.5708E-2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1.2737080000000001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0866141732283472" right="0.70866141732283472" top="0.74803149606299213" bottom="0.74803149606299213" header="0.31496062992125984" footer="0.31496062992125984"/>
  <pageSetup paperSize="9" scale="74" fitToHeight="99" orientation="landscape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view="pageLayout" topLeftCell="A13" zoomScale="70" zoomScaleNormal="7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79" firstPageNumber="0" fitToHeight="99" orientation="landscape" r:id="rId1"/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1" t="s">
        <v>305</v>
      </c>
    </row>
  </sheetData>
  <hyperlinks>
    <hyperlink ref="B1" location="SU_02009" display="SU_02009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1.3315549999999998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281" t="s">
        <v>176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307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1.3315549999999998</v>
      </c>
      <c r="O5" s="430"/>
    </row>
    <row r="6" spans="1:15" x14ac:dyDescent="0.3">
      <c r="A6" s="427" t="s">
        <v>7</v>
      </c>
      <c r="B6" s="433" t="s">
        <v>306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9.4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3.4539999999999994E-2</v>
      </c>
      <c r="F11" s="439" t="s">
        <v>212</v>
      </c>
      <c r="G11" s="439"/>
      <c r="H11" s="440"/>
      <c r="I11" s="441" t="s">
        <v>311</v>
      </c>
      <c r="J11" s="442">
        <f>0.04*0.022</f>
        <v>8.7999999999999992E-4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7.7715000000000006E-2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1.7599999999999998E-3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1.7599999999999998E-2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9.5315000000000011E-2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43.8" customHeight="1" x14ac:dyDescent="0.3">
      <c r="A16" s="446">
        <v>10</v>
      </c>
      <c r="B16" s="447" t="s">
        <v>39</v>
      </c>
      <c r="C16" s="448" t="s">
        <v>312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13.2</v>
      </c>
      <c r="G17" s="447"/>
      <c r="H17" s="450"/>
      <c r="I17" s="451">
        <f>IF(H17="",D17*F17,D17*F17*H17)</f>
        <v>0.13200000000000001</v>
      </c>
      <c r="J17" s="305"/>
      <c r="K17" s="411"/>
      <c r="L17" s="411"/>
      <c r="M17" s="411"/>
      <c r="N17" s="411"/>
      <c r="O17" s="430"/>
    </row>
    <row r="18" spans="1:15" ht="28.2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ht="26.4" customHeight="1" x14ac:dyDescent="0.3">
      <c r="A20" s="446">
        <v>50</v>
      </c>
      <c r="B20" s="447" t="s">
        <v>233</v>
      </c>
      <c r="C20" s="569" t="s">
        <v>284</v>
      </c>
      <c r="D20" s="309">
        <v>5.25</v>
      </c>
      <c r="E20" s="447" t="s">
        <v>276</v>
      </c>
      <c r="F20" s="459">
        <f>2*J11</f>
        <v>1.7599999999999998E-3</v>
      </c>
      <c r="G20" s="447"/>
      <c r="H20" s="450"/>
      <c r="I20" s="458">
        <f>F20*D20</f>
        <v>9.2399999999999999E-3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1.2362399999999998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0866141732283472" right="0.70866141732283472" top="0.74803149606299213" bottom="0.74803149606299213" header="0.31496062992125984" footer="0.31496062992125984"/>
  <pageSetup paperSize="9" scale="70" fitToHeight="99" orientation="landscape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306</v>
      </c>
    </row>
  </sheetData>
  <hyperlinks>
    <hyperlink ref="B1" location="SU_02010" display="SU_02010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1.41506025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388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281" t="s">
        <v>176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292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1.41506025</v>
      </c>
      <c r="O5" s="430"/>
    </row>
    <row r="6" spans="1:15" x14ac:dyDescent="0.3">
      <c r="A6" s="427" t="s">
        <v>7</v>
      </c>
      <c r="B6" s="433" t="s">
        <v>308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5.3537000000000001E-2</v>
      </c>
      <c r="F11" s="439" t="s">
        <v>212</v>
      </c>
      <c r="G11" s="439"/>
      <c r="H11" s="440"/>
      <c r="I11" s="441" t="s">
        <v>280</v>
      </c>
      <c r="J11" s="442">
        <f>0.062*0.022</f>
        <v>1.364E-3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0.12045825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2.728E-3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2.7279999999999999E-2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0.14773825000000002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57.6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15.8</v>
      </c>
      <c r="G17" s="447"/>
      <c r="H17" s="450"/>
      <c r="I17" s="451">
        <f>IF(H17="",D17*F17,D17*F17*H17)</f>
        <v>0.158</v>
      </c>
      <c r="J17" s="305"/>
      <c r="K17" s="411"/>
      <c r="L17" s="411"/>
      <c r="M17" s="411"/>
      <c r="N17" s="411"/>
      <c r="O17" s="430"/>
    </row>
    <row r="18" spans="1:15" ht="43.2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ht="28.8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2.728E-3</v>
      </c>
      <c r="G20" s="447"/>
      <c r="H20" s="450"/>
      <c r="I20" s="458">
        <f>F20*D20</f>
        <v>1.4322E-2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1.2673220000000001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0866141732283472" right="0.70866141732283472" top="0.74803149606299213" bottom="0.74803149606299213" header="0.31496062992125984" footer="0.31496062992125984"/>
  <pageSetup paperSize="9" scale="74" fitToHeight="99" orientation="landscape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view="pageLayout" zoomScale="70" zoomScaleNormal="7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0">
        <v>80</v>
      </c>
      <c r="B17" s="570" t="str">
        <f>'SU 03008'!B5</f>
        <v>Front up bracket</v>
      </c>
      <c r="C17" s="496">
        <f>'SU 03008'!N2</f>
        <v>1.4969516249999999</v>
      </c>
      <c r="D17" s="480">
        <f>SU_03008_q</f>
        <v>1</v>
      </c>
      <c r="E17" s="496">
        <f t="shared" si="0"/>
        <v>1.4969516249999999</v>
      </c>
      <c r="F17" s="346"/>
      <c r="G17" s="346"/>
      <c r="H17" s="346"/>
      <c r="I17" s="346"/>
      <c r="J17" s="346"/>
      <c r="K17" s="346"/>
      <c r="L17" s="346"/>
      <c r="M17" s="346"/>
      <c r="N17" s="346"/>
      <c r="O17" s="351"/>
    </row>
    <row r="18" spans="1:15" s="17" customFormat="1" x14ac:dyDescent="0.3">
      <c r="A18" s="490">
        <v>90</v>
      </c>
      <c r="B18" s="570" t="str">
        <f>'SU 03009'!B5</f>
        <v>Front down bracket</v>
      </c>
      <c r="C18" s="496">
        <f>'SU 03009'!N2</f>
        <v>1.49211</v>
      </c>
      <c r="D18" s="480">
        <f>SU_03009_q</f>
        <v>1</v>
      </c>
      <c r="E18" s="496">
        <f t="shared" si="0"/>
        <v>1.49211</v>
      </c>
      <c r="F18" s="346"/>
      <c r="G18" s="346"/>
      <c r="H18" s="346"/>
      <c r="I18" s="346"/>
      <c r="J18" s="346"/>
      <c r="K18" s="346"/>
      <c r="L18" s="346"/>
      <c r="M18" s="346"/>
      <c r="N18" s="346"/>
      <c r="O18" s="351"/>
    </row>
    <row r="19" spans="1:15" s="17" customFormat="1" x14ac:dyDescent="0.3">
      <c r="A19" s="490">
        <v>100</v>
      </c>
      <c r="B19" s="570" t="str">
        <f>'SU 03010'!B5</f>
        <v>Rear up bracket</v>
      </c>
      <c r="C19" s="496">
        <f>'SU 03010'!N2</f>
        <v>1.2680301249999999</v>
      </c>
      <c r="D19" s="480">
        <f>SU_03010_q</f>
        <v>1</v>
      </c>
      <c r="E19" s="496">
        <f t="shared" si="0"/>
        <v>1.2680301249999999</v>
      </c>
      <c r="F19" s="346"/>
      <c r="G19" s="346"/>
      <c r="H19" s="346"/>
      <c r="I19" s="346"/>
      <c r="J19" s="346"/>
      <c r="K19" s="346"/>
      <c r="L19" s="346"/>
      <c r="M19" s="346"/>
      <c r="N19" s="346"/>
      <c r="O19" s="351"/>
    </row>
    <row r="20" spans="1:15" s="17" customFormat="1" x14ac:dyDescent="0.3">
      <c r="A20" s="490">
        <v>110</v>
      </c>
      <c r="B20" s="570" t="str">
        <f>'SU 03011'!B5</f>
        <v>Rear down bracket</v>
      </c>
      <c r="C20" s="496">
        <f>'SU 03011'!N2</f>
        <v>1.3787631249999999</v>
      </c>
      <c r="D20" s="480">
        <f>SU_03011_q</f>
        <v>1</v>
      </c>
      <c r="E20" s="496">
        <f t="shared" si="0"/>
        <v>1.3787631249999999</v>
      </c>
      <c r="F20" s="346"/>
      <c r="G20" s="346"/>
      <c r="H20" s="346"/>
      <c r="I20" s="346"/>
      <c r="J20" s="346"/>
      <c r="K20" s="346"/>
      <c r="L20" s="346"/>
      <c r="M20" s="346"/>
      <c r="N20" s="346"/>
      <c r="O20" s="351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2" t="s">
        <v>142</v>
      </c>
      <c r="C30" s="227" t="s">
        <v>240</v>
      </c>
      <c r="D30" s="279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79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2" t="s">
        <v>139</v>
      </c>
      <c r="C31" s="227" t="s">
        <v>241</v>
      </c>
      <c r="D31" s="279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79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2" t="s">
        <v>142</v>
      </c>
      <c r="C32" s="227" t="s">
        <v>243</v>
      </c>
      <c r="D32" s="279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79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2" t="s">
        <v>225</v>
      </c>
      <c r="C33" s="232" t="s">
        <v>245</v>
      </c>
      <c r="D33" s="279">
        <v>0.06</v>
      </c>
      <c r="E33" s="282" t="s">
        <v>32</v>
      </c>
      <c r="F33" s="237">
        <v>1</v>
      </c>
      <c r="G33" s="237" t="s">
        <v>224</v>
      </c>
      <c r="H33" s="237">
        <v>2</v>
      </c>
      <c r="I33" s="279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2" t="s">
        <v>142</v>
      </c>
      <c r="C34" s="227" t="s">
        <v>246</v>
      </c>
      <c r="D34" s="279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79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2" t="s">
        <v>139</v>
      </c>
      <c r="C35" s="227" t="s">
        <v>247</v>
      </c>
      <c r="D35" s="279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79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2" t="s">
        <v>142</v>
      </c>
      <c r="C36" s="227" t="s">
        <v>226</v>
      </c>
      <c r="D36" s="279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79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2" t="s">
        <v>225</v>
      </c>
      <c r="C37" s="232" t="s">
        <v>248</v>
      </c>
      <c r="D37" s="279">
        <v>0.14000000000000001</v>
      </c>
      <c r="E37" s="282" t="s">
        <v>32</v>
      </c>
      <c r="F37" s="237">
        <v>1</v>
      </c>
      <c r="G37" s="237" t="s">
        <v>224</v>
      </c>
      <c r="H37" s="237">
        <v>2</v>
      </c>
      <c r="I37" s="279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2" t="s">
        <v>142</v>
      </c>
      <c r="C38" s="227" t="s">
        <v>242</v>
      </c>
      <c r="D38" s="279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79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2" t="s">
        <v>139</v>
      </c>
      <c r="C39" s="227" t="s">
        <v>244</v>
      </c>
      <c r="D39" s="279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79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2" t="s">
        <v>142</v>
      </c>
      <c r="C40" s="227" t="s">
        <v>226</v>
      </c>
      <c r="D40" s="279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79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2" t="s">
        <v>225</v>
      </c>
      <c r="C41" s="232" t="s">
        <v>249</v>
      </c>
      <c r="D41" s="279">
        <v>0.22</v>
      </c>
      <c r="E41" s="282" t="s">
        <v>32</v>
      </c>
      <c r="F41" s="237">
        <v>1</v>
      </c>
      <c r="G41" s="237" t="s">
        <v>224</v>
      </c>
      <c r="H41" s="237">
        <v>2</v>
      </c>
      <c r="I41" s="279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2" t="s">
        <v>142</v>
      </c>
      <c r="C42" s="227" t="s">
        <v>227</v>
      </c>
      <c r="D42" s="279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79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79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79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2" t="s">
        <v>225</v>
      </c>
      <c r="C44" s="227" t="s">
        <v>230</v>
      </c>
      <c r="D44" s="279">
        <v>0.3</v>
      </c>
      <c r="E44" s="282" t="s">
        <v>32</v>
      </c>
      <c r="F44" s="237">
        <v>1</v>
      </c>
      <c r="G44" s="237" t="s">
        <v>228</v>
      </c>
      <c r="H44" s="237">
        <v>3</v>
      </c>
      <c r="I44" s="279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79">
        <v>0.15</v>
      </c>
      <c r="E45" s="226" t="s">
        <v>140</v>
      </c>
      <c r="F45" s="237">
        <v>22</v>
      </c>
      <c r="G45" s="237"/>
      <c r="H45" s="221"/>
      <c r="I45" s="279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2" t="s">
        <v>233</v>
      </c>
      <c r="C46" s="232" t="s">
        <v>234</v>
      </c>
      <c r="D46" s="279">
        <v>5.25</v>
      </c>
      <c r="E46" s="282" t="s">
        <v>143</v>
      </c>
      <c r="F46" s="237">
        <v>0.01</v>
      </c>
      <c r="G46" s="237"/>
      <c r="H46" s="221"/>
      <c r="I46" s="279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79">
        <v>0.14000000000000001</v>
      </c>
      <c r="E47" s="226" t="s">
        <v>32</v>
      </c>
      <c r="F47" s="237">
        <v>1</v>
      </c>
      <c r="G47" s="237"/>
      <c r="H47" s="221"/>
      <c r="I47" s="279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2" t="s">
        <v>141</v>
      </c>
      <c r="C48" s="232" t="s">
        <v>236</v>
      </c>
      <c r="D48" s="279">
        <v>0.13</v>
      </c>
      <c r="E48" s="282" t="s">
        <v>32</v>
      </c>
      <c r="F48" s="237">
        <v>4</v>
      </c>
      <c r="G48" s="237"/>
      <c r="H48" s="221"/>
      <c r="I48" s="279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2" t="s">
        <v>141</v>
      </c>
      <c r="C49" s="232" t="s">
        <v>237</v>
      </c>
      <c r="D49" s="279">
        <v>0.13</v>
      </c>
      <c r="E49" s="282" t="s">
        <v>32</v>
      </c>
      <c r="F49" s="237">
        <v>8</v>
      </c>
      <c r="G49" s="237"/>
      <c r="H49" s="221"/>
      <c r="I49" s="279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79">
        <v>0.13</v>
      </c>
      <c r="E50" s="226" t="s">
        <v>32</v>
      </c>
      <c r="F50" s="237">
        <v>2</v>
      </c>
      <c r="G50" s="237"/>
      <c r="H50" s="221"/>
      <c r="I50" s="279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2" t="s">
        <v>145</v>
      </c>
      <c r="C51" s="232" t="s">
        <v>239</v>
      </c>
      <c r="D51" s="279">
        <v>0.25</v>
      </c>
      <c r="E51" s="282" t="s">
        <v>32</v>
      </c>
      <c r="F51" s="237">
        <v>2</v>
      </c>
      <c r="G51" s="237"/>
      <c r="H51" s="221"/>
      <c r="I51" s="279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7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0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0866141732283472" right="0.70866141732283472" top="0.74803149606299213" bottom="0.74803149606299213" header="0.31496062992125984" footer="0.31496062992125984"/>
  <pageSetup paperSize="9" scale="56" firstPageNumber="0" fitToHeight="99" orientation="landscape" r:id="rId1"/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view="pageLayout" zoomScale="70" zoomScaleNormal="106" zoomScalePageLayoutView="70" workbookViewId="0">
      <selection activeCell="E32" sqref="E3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3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84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0866141732283472" right="0.70866141732283472" top="0.74803149606299213" bottom="0.74803149606299213" header="0.31496062992125984" footer="0.31496062992125984"/>
  <pageSetup paperSize="9" scale="80" firstPageNumber="0" fitToHeight="99" orientation="landscape" r:id="rId1"/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3">
        <f>4.2</f>
        <v>4.2</v>
      </c>
      <c r="E11" s="263">
        <f>J11*K11*L11</f>
        <v>0.20437632</v>
      </c>
      <c r="F11" s="20" t="s">
        <v>162</v>
      </c>
      <c r="G11" s="20"/>
      <c r="H11" s="284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3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2">
        <v>10</v>
      </c>
      <c r="B15" s="333" t="s">
        <v>39</v>
      </c>
      <c r="C15" s="332"/>
      <c r="D15" s="334">
        <v>1.3</v>
      </c>
      <c r="E15" s="333" t="s">
        <v>32</v>
      </c>
      <c r="F15" s="332">
        <v>1</v>
      </c>
      <c r="G15" s="332" t="s">
        <v>295</v>
      </c>
      <c r="H15" s="332">
        <v>0.5</v>
      </c>
      <c r="I15" s="335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36">
        <v>20</v>
      </c>
      <c r="B16" s="333" t="s">
        <v>159</v>
      </c>
      <c r="C16" s="337" t="s">
        <v>263</v>
      </c>
      <c r="D16" s="338">
        <v>0.04</v>
      </c>
      <c r="E16" s="336" t="s">
        <v>161</v>
      </c>
      <c r="F16" s="339">
        <v>17</v>
      </c>
      <c r="G16" s="333" t="s">
        <v>264</v>
      </c>
      <c r="H16" s="237">
        <v>1</v>
      </c>
      <c r="I16" s="340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2">
        <v>30</v>
      </c>
      <c r="B17" s="333" t="s">
        <v>158</v>
      </c>
      <c r="C17" s="332"/>
      <c r="D17" s="334">
        <v>0.65</v>
      </c>
      <c r="E17" s="333" t="s">
        <v>32</v>
      </c>
      <c r="F17" s="332">
        <v>1</v>
      </c>
      <c r="G17" s="332" t="s">
        <v>295</v>
      </c>
      <c r="H17" s="332">
        <v>0.5</v>
      </c>
      <c r="I17" s="335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36">
        <v>40</v>
      </c>
      <c r="B18" s="333" t="s">
        <v>159</v>
      </c>
      <c r="C18" s="337" t="s">
        <v>265</v>
      </c>
      <c r="D18" s="338">
        <v>0.04</v>
      </c>
      <c r="E18" s="336" t="s">
        <v>161</v>
      </c>
      <c r="F18" s="339">
        <v>2</v>
      </c>
      <c r="G18" s="333" t="s">
        <v>264</v>
      </c>
      <c r="H18" s="237">
        <v>1</v>
      </c>
      <c r="I18" s="340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2">
        <v>50</v>
      </c>
      <c r="B19" s="333" t="s">
        <v>158</v>
      </c>
      <c r="C19" s="332"/>
      <c r="D19" s="334">
        <v>0.65</v>
      </c>
      <c r="E19" s="333" t="s">
        <v>32</v>
      </c>
      <c r="F19" s="332">
        <v>1</v>
      </c>
      <c r="G19" s="332"/>
      <c r="H19" s="332"/>
      <c r="I19" s="335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36">
        <v>60</v>
      </c>
      <c r="B20" s="333" t="s">
        <v>159</v>
      </c>
      <c r="C20" s="337" t="s">
        <v>266</v>
      </c>
      <c r="D20" s="338">
        <v>0.04</v>
      </c>
      <c r="E20" s="336" t="s">
        <v>161</v>
      </c>
      <c r="F20" s="339">
        <v>2.2999999999999998</v>
      </c>
      <c r="G20" s="333" t="s">
        <v>264</v>
      </c>
      <c r="H20" s="237">
        <v>1</v>
      </c>
      <c r="I20" s="340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0866141732283472" right="0.70866141732283472" top="0.74803149606299213" bottom="0.74803149606299213" header="0.31496062992125984" footer="0.31496062992125984"/>
  <pageSetup paperSize="9" scale="55" fitToHeight="99" orientation="landscape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0866141732283472" right="0.70866141732283472" top="0.74803149606299213" bottom="0.74803149606299213" header="0.31496062992125984" footer="0.31496062992125984"/>
  <pageSetup paperSize="9" scale="55" fitToHeight="99" orientation="landscape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22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85"/>
      <c r="B1" s="586"/>
      <c r="C1" s="586"/>
      <c r="D1" s="586"/>
      <c r="E1" s="586"/>
      <c r="F1" s="586"/>
      <c r="G1" s="586"/>
      <c r="H1" s="586"/>
      <c r="I1" s="586"/>
      <c r="J1" s="586"/>
      <c r="K1" s="586"/>
      <c r="L1" s="586"/>
      <c r="M1" s="586"/>
      <c r="N1" s="586"/>
      <c r="O1" s="587"/>
    </row>
    <row r="2" spans="1:17" x14ac:dyDescent="0.3">
      <c r="A2" s="588" t="s">
        <v>0</v>
      </c>
      <c r="B2" s="589" t="s">
        <v>37</v>
      </c>
      <c r="C2" s="589"/>
      <c r="D2" s="589"/>
      <c r="E2" s="589"/>
      <c r="F2" s="589"/>
      <c r="G2" s="590" t="s">
        <v>126</v>
      </c>
      <c r="H2" s="589"/>
      <c r="I2" s="589"/>
      <c r="J2" s="591" t="s">
        <v>1</v>
      </c>
      <c r="K2" s="592">
        <v>81</v>
      </c>
      <c r="L2" s="589"/>
      <c r="M2" s="588" t="s">
        <v>16</v>
      </c>
      <c r="N2" s="593">
        <f>N12+I21</f>
        <v>2.6577472800000002</v>
      </c>
      <c r="O2" s="594"/>
    </row>
    <row r="3" spans="1:17" x14ac:dyDescent="0.3">
      <c r="A3" s="588" t="s">
        <v>3</v>
      </c>
      <c r="B3" s="589" t="str">
        <f>'SU A0300'!B3</f>
        <v>Suspension &amp; Shocks</v>
      </c>
      <c r="C3" s="589"/>
      <c r="D3" s="588" t="s">
        <v>6</v>
      </c>
      <c r="E3" s="595" t="s">
        <v>86</v>
      </c>
      <c r="F3" s="589"/>
      <c r="G3" s="589"/>
      <c r="H3" s="589"/>
      <c r="I3" s="589"/>
      <c r="J3" s="589"/>
      <c r="K3" s="589"/>
      <c r="L3" s="589"/>
      <c r="M3" s="588" t="s">
        <v>4</v>
      </c>
      <c r="N3" s="596">
        <v>2</v>
      </c>
      <c r="O3" s="594"/>
    </row>
    <row r="4" spans="1:17" x14ac:dyDescent="0.3">
      <c r="A4" s="588" t="s">
        <v>5</v>
      </c>
      <c r="B4" s="590" t="s">
        <v>197</v>
      </c>
      <c r="C4" s="589"/>
      <c r="D4" s="588" t="s">
        <v>8</v>
      </c>
      <c r="E4" s="589"/>
      <c r="F4" s="589"/>
      <c r="G4" s="589"/>
      <c r="H4" s="589"/>
      <c r="I4" s="589"/>
      <c r="J4" s="597" t="s">
        <v>6</v>
      </c>
      <c r="K4" s="589"/>
      <c r="L4" s="589"/>
      <c r="M4" s="589"/>
      <c r="N4" s="589"/>
      <c r="O4" s="594"/>
    </row>
    <row r="5" spans="1:17" x14ac:dyDescent="0.3">
      <c r="A5" s="588" t="s">
        <v>15</v>
      </c>
      <c r="B5" s="598" t="s">
        <v>193</v>
      </c>
      <c r="C5" s="589"/>
      <c r="D5" s="588" t="s">
        <v>12</v>
      </c>
      <c r="E5" s="589"/>
      <c r="F5" s="589"/>
      <c r="G5" s="589"/>
      <c r="H5" s="589"/>
      <c r="I5" s="589"/>
      <c r="J5" s="597" t="s">
        <v>8</v>
      </c>
      <c r="K5" s="589"/>
      <c r="L5" s="589"/>
      <c r="M5" s="588" t="s">
        <v>9</v>
      </c>
      <c r="N5" s="593">
        <f>N3*N2</f>
        <v>5.3154945600000003</v>
      </c>
      <c r="O5" s="594"/>
    </row>
    <row r="6" spans="1:17" x14ac:dyDescent="0.3">
      <c r="A6" s="588" t="s">
        <v>7</v>
      </c>
      <c r="B6" s="599" t="s">
        <v>207</v>
      </c>
      <c r="C6" s="589"/>
      <c r="D6" s="589"/>
      <c r="E6" s="589"/>
      <c r="F6" s="589"/>
      <c r="G6" s="589"/>
      <c r="H6" s="589"/>
      <c r="I6" s="589"/>
      <c r="J6" s="597" t="s">
        <v>12</v>
      </c>
      <c r="K6" s="589"/>
      <c r="L6" s="589"/>
      <c r="M6" s="589"/>
      <c r="N6" s="589"/>
      <c r="O6" s="594"/>
    </row>
    <row r="7" spans="1:17" x14ac:dyDescent="0.3">
      <c r="A7" s="588" t="s">
        <v>10</v>
      </c>
      <c r="B7" s="589"/>
      <c r="C7" s="589"/>
      <c r="D7" s="589"/>
      <c r="E7" s="589"/>
      <c r="F7" s="589"/>
      <c r="G7" s="589"/>
      <c r="H7" s="589"/>
      <c r="I7" s="589"/>
      <c r="J7" s="589"/>
      <c r="K7" s="589"/>
      <c r="L7" s="589"/>
      <c r="M7" s="589"/>
      <c r="N7" s="589"/>
      <c r="O7" s="594"/>
    </row>
    <row r="8" spans="1:17" x14ac:dyDescent="0.3">
      <c r="A8" s="588" t="s">
        <v>13</v>
      </c>
      <c r="B8" s="589"/>
      <c r="C8" s="589"/>
      <c r="D8" s="589"/>
      <c r="E8" s="589"/>
      <c r="F8" s="589"/>
      <c r="G8" s="589"/>
      <c r="H8" s="589"/>
      <c r="I8" s="589"/>
      <c r="J8" s="589"/>
      <c r="K8" s="589"/>
      <c r="L8" s="589"/>
      <c r="M8" s="589"/>
      <c r="N8" s="589"/>
      <c r="O8" s="594"/>
    </row>
    <row r="9" spans="1:17" x14ac:dyDescent="0.3">
      <c r="A9" s="600"/>
      <c r="B9" s="601"/>
      <c r="C9" s="601"/>
      <c r="D9" s="601"/>
      <c r="E9" s="601"/>
      <c r="F9" s="589"/>
      <c r="G9" s="589"/>
      <c r="H9" s="589"/>
      <c r="I9" s="589"/>
      <c r="J9" s="589"/>
      <c r="K9" s="589"/>
      <c r="L9" s="589"/>
      <c r="M9" s="589"/>
      <c r="N9" s="589"/>
      <c r="O9" s="594"/>
    </row>
    <row r="10" spans="1:17" x14ac:dyDescent="0.3">
      <c r="A10" s="602" t="s">
        <v>14</v>
      </c>
      <c r="B10" s="603" t="s">
        <v>19</v>
      </c>
      <c r="C10" s="603" t="s">
        <v>20</v>
      </c>
      <c r="D10" s="603" t="s">
        <v>21</v>
      </c>
      <c r="E10" s="603" t="s">
        <v>22</v>
      </c>
      <c r="F10" s="604" t="s">
        <v>23</v>
      </c>
      <c r="G10" s="604" t="s">
        <v>24</v>
      </c>
      <c r="H10" s="604" t="s">
        <v>25</v>
      </c>
      <c r="I10" s="604" t="s">
        <v>26</v>
      </c>
      <c r="J10" s="604" t="s">
        <v>27</v>
      </c>
      <c r="K10" s="604" t="s">
        <v>28</v>
      </c>
      <c r="L10" s="604" t="s">
        <v>29</v>
      </c>
      <c r="M10" s="604" t="s">
        <v>17</v>
      </c>
      <c r="N10" s="604" t="s">
        <v>18</v>
      </c>
      <c r="O10" s="594"/>
    </row>
    <row r="11" spans="1:17" x14ac:dyDescent="0.3">
      <c r="A11" s="605">
        <v>10</v>
      </c>
      <c r="B11" s="606" t="s">
        <v>166</v>
      </c>
      <c r="C11" s="607" t="s">
        <v>38</v>
      </c>
      <c r="D11" s="608">
        <v>2.25</v>
      </c>
      <c r="E11" s="609">
        <f>J11*K11*L11/1000000000</f>
        <v>7.8876800000000011E-3</v>
      </c>
      <c r="F11" s="607" t="s">
        <v>162</v>
      </c>
      <c r="G11" s="607"/>
      <c r="H11" s="610"/>
      <c r="I11" s="611" t="s">
        <v>165</v>
      </c>
      <c r="J11" s="612">
        <f>3.14*8*8</f>
        <v>200.96</v>
      </c>
      <c r="K11" s="613">
        <v>5</v>
      </c>
      <c r="L11" s="614">
        <v>7850</v>
      </c>
      <c r="M11" s="615">
        <v>1</v>
      </c>
      <c r="N11" s="608">
        <f>D11*E11</f>
        <v>1.7747280000000004E-2</v>
      </c>
      <c r="O11" s="616"/>
      <c r="Q11" s="207"/>
    </row>
    <row r="12" spans="1:17" x14ac:dyDescent="0.3">
      <c r="A12" s="617"/>
      <c r="B12" s="618"/>
      <c r="C12" s="618"/>
      <c r="D12" s="618"/>
      <c r="E12" s="618"/>
      <c r="F12" s="618"/>
      <c r="G12" s="618"/>
      <c r="H12" s="618"/>
      <c r="I12" s="618"/>
      <c r="J12" s="618"/>
      <c r="K12" s="618"/>
      <c r="L12" s="618"/>
      <c r="M12" s="619" t="s">
        <v>18</v>
      </c>
      <c r="N12" s="620">
        <f>SUM(N11:N11)</f>
        <v>1.7747280000000004E-2</v>
      </c>
      <c r="O12" s="594"/>
    </row>
    <row r="13" spans="1:17" x14ac:dyDescent="0.3">
      <c r="A13" s="621"/>
      <c r="B13" s="589"/>
      <c r="C13" s="589"/>
      <c r="D13" s="589"/>
      <c r="E13" s="589"/>
      <c r="F13" s="589"/>
      <c r="G13" s="589"/>
      <c r="H13" s="589"/>
      <c r="I13" s="589"/>
      <c r="J13" s="589"/>
      <c r="K13" s="589"/>
      <c r="L13" s="589"/>
      <c r="M13" s="589"/>
      <c r="N13" s="589"/>
      <c r="O13" s="594"/>
    </row>
    <row r="14" spans="1:17" x14ac:dyDescent="0.3">
      <c r="A14" s="622" t="s">
        <v>14</v>
      </c>
      <c r="B14" s="604" t="s">
        <v>31</v>
      </c>
      <c r="C14" s="604" t="s">
        <v>20</v>
      </c>
      <c r="D14" s="604" t="s">
        <v>21</v>
      </c>
      <c r="E14" s="604" t="s">
        <v>32</v>
      </c>
      <c r="F14" s="604" t="s">
        <v>17</v>
      </c>
      <c r="G14" s="604" t="s">
        <v>33</v>
      </c>
      <c r="H14" s="604" t="s">
        <v>34</v>
      </c>
      <c r="I14" s="604" t="s">
        <v>18</v>
      </c>
      <c r="J14" s="618"/>
      <c r="K14" s="618"/>
      <c r="L14" s="618"/>
      <c r="M14" s="618"/>
      <c r="N14" s="618"/>
      <c r="O14" s="594"/>
    </row>
    <row r="15" spans="1:17" ht="28.8" x14ac:dyDescent="0.3">
      <c r="A15" s="623">
        <v>10</v>
      </c>
      <c r="B15" s="624" t="s">
        <v>39</v>
      </c>
      <c r="C15" s="625" t="s">
        <v>134</v>
      </c>
      <c r="D15" s="626">
        <v>1.3</v>
      </c>
      <c r="E15" s="624" t="s">
        <v>35</v>
      </c>
      <c r="F15" s="625">
        <v>1</v>
      </c>
      <c r="G15" s="625"/>
      <c r="H15" s="625"/>
      <c r="I15" s="626">
        <f t="shared" ref="I15:I20" si="0">IF(H15="",D15*F15,D15*F15*H15)</f>
        <v>1.3</v>
      </c>
      <c r="J15" s="627"/>
      <c r="K15" s="627"/>
      <c r="L15" s="627"/>
      <c r="M15" s="627"/>
      <c r="N15" s="627"/>
      <c r="O15" s="628"/>
    </row>
    <row r="16" spans="1:17" x14ac:dyDescent="0.3">
      <c r="A16" s="629">
        <v>20</v>
      </c>
      <c r="B16" s="630" t="s">
        <v>159</v>
      </c>
      <c r="C16" s="631" t="s">
        <v>167</v>
      </c>
      <c r="D16" s="608">
        <v>0.04</v>
      </c>
      <c r="E16" s="624" t="s">
        <v>161</v>
      </c>
      <c r="F16" s="632">
        <v>0.4</v>
      </c>
      <c r="G16" s="624"/>
      <c r="H16" s="631"/>
      <c r="I16" s="608">
        <f t="shared" si="0"/>
        <v>1.6E-2</v>
      </c>
      <c r="J16" s="589"/>
      <c r="K16" s="589"/>
      <c r="L16" s="589"/>
      <c r="M16" s="589"/>
      <c r="N16" s="589"/>
      <c r="O16" s="594"/>
    </row>
    <row r="17" spans="1:15" x14ac:dyDescent="0.3">
      <c r="A17" s="629">
        <v>30</v>
      </c>
      <c r="B17" s="630" t="s">
        <v>158</v>
      </c>
      <c r="C17" s="631" t="s">
        <v>160</v>
      </c>
      <c r="D17" s="608">
        <v>0.65</v>
      </c>
      <c r="E17" s="624" t="s">
        <v>35</v>
      </c>
      <c r="F17" s="631">
        <v>1</v>
      </c>
      <c r="G17" s="631"/>
      <c r="H17" s="631"/>
      <c r="I17" s="608">
        <f t="shared" si="0"/>
        <v>0.65</v>
      </c>
      <c r="J17" s="589"/>
      <c r="K17" s="589"/>
      <c r="L17" s="589"/>
      <c r="M17" s="589"/>
      <c r="N17" s="589"/>
      <c r="O17" s="594"/>
    </row>
    <row r="18" spans="1:15" x14ac:dyDescent="0.3">
      <c r="A18" s="629">
        <v>40</v>
      </c>
      <c r="B18" s="630" t="s">
        <v>159</v>
      </c>
      <c r="C18" s="631" t="s">
        <v>169</v>
      </c>
      <c r="D18" s="608">
        <v>0.04</v>
      </c>
      <c r="E18" s="624" t="s">
        <v>161</v>
      </c>
      <c r="F18" s="632">
        <v>0.56000000000000005</v>
      </c>
      <c r="G18" s="624"/>
      <c r="H18" s="631"/>
      <c r="I18" s="608">
        <f t="shared" si="0"/>
        <v>2.2400000000000003E-2</v>
      </c>
      <c r="J18" s="589"/>
      <c r="K18" s="589"/>
      <c r="L18" s="589"/>
      <c r="M18" s="589"/>
      <c r="N18" s="589"/>
      <c r="O18" s="594"/>
    </row>
    <row r="19" spans="1:15" x14ac:dyDescent="0.3">
      <c r="A19" s="629">
        <v>50</v>
      </c>
      <c r="B19" s="630" t="s">
        <v>158</v>
      </c>
      <c r="C19" s="631" t="s">
        <v>160</v>
      </c>
      <c r="D19" s="608">
        <v>0.65</v>
      </c>
      <c r="E19" s="624" t="s">
        <v>35</v>
      </c>
      <c r="F19" s="631">
        <v>1</v>
      </c>
      <c r="G19" s="631"/>
      <c r="H19" s="631"/>
      <c r="I19" s="608">
        <f t="shared" si="0"/>
        <v>0.65</v>
      </c>
      <c r="J19" s="589"/>
      <c r="K19" s="589"/>
      <c r="L19" s="589"/>
      <c r="M19" s="589"/>
      <c r="N19" s="589"/>
      <c r="O19" s="594"/>
    </row>
    <row r="20" spans="1:15" x14ac:dyDescent="0.3">
      <c r="A20" s="629">
        <v>60</v>
      </c>
      <c r="B20" s="630" t="s">
        <v>159</v>
      </c>
      <c r="C20" s="631" t="s">
        <v>168</v>
      </c>
      <c r="D20" s="608">
        <v>0.04</v>
      </c>
      <c r="E20" s="624" t="s">
        <v>161</v>
      </c>
      <c r="F20" s="631">
        <v>0.04</v>
      </c>
      <c r="G20" s="631"/>
      <c r="H20" s="631"/>
      <c r="I20" s="608">
        <f t="shared" si="0"/>
        <v>1.6000000000000001E-3</v>
      </c>
      <c r="J20" s="589"/>
      <c r="K20" s="589"/>
      <c r="L20" s="589"/>
      <c r="M20" s="589"/>
      <c r="N20" s="589"/>
      <c r="O20" s="594"/>
    </row>
    <row r="21" spans="1:15" x14ac:dyDescent="0.3">
      <c r="A21" s="617"/>
      <c r="B21" s="618"/>
      <c r="C21" s="618"/>
      <c r="D21" s="618"/>
      <c r="E21" s="618"/>
      <c r="F21" s="618"/>
      <c r="G21" s="618"/>
      <c r="H21" s="633" t="s">
        <v>18</v>
      </c>
      <c r="I21" s="620">
        <f>SUM(I15:I20)</f>
        <v>2.64</v>
      </c>
      <c r="J21" s="618"/>
      <c r="K21" s="618"/>
      <c r="L21" s="618"/>
      <c r="M21" s="618"/>
      <c r="N21" s="618"/>
      <c r="O21" s="594"/>
    </row>
    <row r="22" spans="1:15" ht="15" thickBot="1" x14ac:dyDescent="0.35">
      <c r="A22" s="634"/>
      <c r="B22" s="635"/>
      <c r="C22" s="635"/>
      <c r="D22" s="635"/>
      <c r="E22" s="635"/>
      <c r="F22" s="635"/>
      <c r="G22" s="635"/>
      <c r="H22" s="635"/>
      <c r="I22" s="635"/>
      <c r="J22" s="635"/>
      <c r="K22" s="635"/>
      <c r="L22" s="635"/>
      <c r="M22" s="635"/>
      <c r="N22" s="635"/>
      <c r="O22" s="636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20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85"/>
      <c r="B1" s="586"/>
      <c r="C1" s="586"/>
      <c r="D1" s="586"/>
      <c r="E1" s="586"/>
      <c r="F1" s="586"/>
      <c r="G1" s="586"/>
      <c r="H1" s="586"/>
      <c r="I1" s="586"/>
      <c r="J1" s="586"/>
      <c r="K1" s="586"/>
      <c r="L1" s="586"/>
      <c r="M1" s="586"/>
      <c r="N1" s="586"/>
      <c r="O1" s="587"/>
      <c r="P1" s="155"/>
    </row>
    <row r="2" spans="1:16" x14ac:dyDescent="0.3">
      <c r="A2" s="588" t="s">
        <v>0</v>
      </c>
      <c r="B2" s="589" t="s">
        <v>37</v>
      </c>
      <c r="C2" s="589"/>
      <c r="D2" s="589"/>
      <c r="E2" s="589"/>
      <c r="F2" s="589"/>
      <c r="G2" s="590" t="s">
        <v>126</v>
      </c>
      <c r="H2" s="589"/>
      <c r="I2" s="589"/>
      <c r="J2" s="591" t="s">
        <v>1</v>
      </c>
      <c r="K2" s="592">
        <v>81</v>
      </c>
      <c r="L2" s="589"/>
      <c r="M2" s="588" t="s">
        <v>16</v>
      </c>
      <c r="N2" s="593">
        <f>N12+I18</f>
        <v>1.1551782399999999</v>
      </c>
      <c r="O2" s="594"/>
      <c r="P2" s="155"/>
    </row>
    <row r="3" spans="1:16" x14ac:dyDescent="0.3">
      <c r="A3" s="588" t="s">
        <v>3</v>
      </c>
      <c r="B3" s="589" t="str">
        <f>'SU A0300'!B3</f>
        <v>Suspension &amp; Shocks</v>
      </c>
      <c r="C3" s="589"/>
      <c r="D3" s="588" t="s">
        <v>6</v>
      </c>
      <c r="E3" s="595" t="s">
        <v>86</v>
      </c>
      <c r="F3" s="589"/>
      <c r="G3" s="589"/>
      <c r="H3" s="589"/>
      <c r="I3" s="589"/>
      <c r="J3" s="589"/>
      <c r="K3" s="589"/>
      <c r="L3" s="589"/>
      <c r="M3" s="588" t="s">
        <v>4</v>
      </c>
      <c r="N3" s="596">
        <v>4</v>
      </c>
      <c r="O3" s="594"/>
      <c r="P3" s="155"/>
    </row>
    <row r="4" spans="1:16" x14ac:dyDescent="0.3">
      <c r="A4" s="588" t="s">
        <v>5</v>
      </c>
      <c r="B4" s="590" t="s">
        <v>197</v>
      </c>
      <c r="C4" s="589"/>
      <c r="D4" s="588" t="s">
        <v>8</v>
      </c>
      <c r="E4" s="589"/>
      <c r="F4" s="589"/>
      <c r="G4" s="589"/>
      <c r="H4" s="589"/>
      <c r="I4" s="589"/>
      <c r="J4" s="597" t="s">
        <v>6</v>
      </c>
      <c r="K4" s="589"/>
      <c r="L4" s="589"/>
      <c r="M4" s="589"/>
      <c r="N4" s="589"/>
      <c r="O4" s="594"/>
      <c r="P4" s="155"/>
    </row>
    <row r="5" spans="1:16" x14ac:dyDescent="0.3">
      <c r="A5" s="588" t="s">
        <v>15</v>
      </c>
      <c r="B5" s="598" t="s">
        <v>192</v>
      </c>
      <c r="C5" s="589"/>
      <c r="D5" s="588" t="s">
        <v>12</v>
      </c>
      <c r="E5" s="589"/>
      <c r="F5" s="589"/>
      <c r="G5" s="589"/>
      <c r="H5" s="589"/>
      <c r="I5" s="589"/>
      <c r="J5" s="597" t="s">
        <v>8</v>
      </c>
      <c r="K5" s="589"/>
      <c r="L5" s="589"/>
      <c r="M5" s="588" t="s">
        <v>9</v>
      </c>
      <c r="N5" s="593">
        <f>N3*N2</f>
        <v>4.6207129599999996</v>
      </c>
      <c r="O5" s="594"/>
      <c r="P5" s="155"/>
    </row>
    <row r="6" spans="1:16" x14ac:dyDescent="0.3">
      <c r="A6" s="588" t="s">
        <v>7</v>
      </c>
      <c r="B6" s="599" t="s">
        <v>206</v>
      </c>
      <c r="C6" s="589"/>
      <c r="D6" s="589"/>
      <c r="E6" s="589"/>
      <c r="F6" s="589"/>
      <c r="G6" s="589"/>
      <c r="H6" s="589"/>
      <c r="I6" s="589"/>
      <c r="J6" s="597" t="s">
        <v>12</v>
      </c>
      <c r="K6" s="589"/>
      <c r="L6" s="589"/>
      <c r="M6" s="589"/>
      <c r="N6" s="589"/>
      <c r="O6" s="594"/>
      <c r="P6" s="155"/>
    </row>
    <row r="7" spans="1:16" x14ac:dyDescent="0.3">
      <c r="A7" s="588" t="s">
        <v>10</v>
      </c>
      <c r="B7" s="589"/>
      <c r="C7" s="589"/>
      <c r="D7" s="589"/>
      <c r="E7" s="589"/>
      <c r="F7" s="589"/>
      <c r="G7" s="589"/>
      <c r="H7" s="589"/>
      <c r="I7" s="589"/>
      <c r="J7" s="589"/>
      <c r="K7" s="589"/>
      <c r="L7" s="589"/>
      <c r="M7" s="589"/>
      <c r="N7" s="589"/>
      <c r="O7" s="594"/>
      <c r="P7" s="155"/>
    </row>
    <row r="8" spans="1:16" x14ac:dyDescent="0.3">
      <c r="A8" s="588" t="s">
        <v>13</v>
      </c>
      <c r="B8" s="589"/>
      <c r="C8" s="589"/>
      <c r="D8" s="589"/>
      <c r="E8" s="589"/>
      <c r="F8" s="589"/>
      <c r="G8" s="589"/>
      <c r="H8" s="589"/>
      <c r="I8" s="589"/>
      <c r="J8" s="589"/>
      <c r="K8" s="589"/>
      <c r="L8" s="589"/>
      <c r="M8" s="589"/>
      <c r="N8" s="589"/>
      <c r="O8" s="594"/>
      <c r="P8" s="155"/>
    </row>
    <row r="9" spans="1:16" x14ac:dyDescent="0.3">
      <c r="A9" s="600"/>
      <c r="B9" s="601"/>
      <c r="C9" s="601"/>
      <c r="D9" s="601"/>
      <c r="E9" s="601"/>
      <c r="F9" s="589"/>
      <c r="G9" s="589"/>
      <c r="H9" s="589"/>
      <c r="I9" s="589"/>
      <c r="J9" s="589"/>
      <c r="K9" s="589"/>
      <c r="L9" s="589"/>
      <c r="M9" s="589"/>
      <c r="N9" s="589"/>
      <c r="O9" s="594"/>
      <c r="P9" s="155"/>
    </row>
    <row r="10" spans="1:16" x14ac:dyDescent="0.3">
      <c r="A10" s="602" t="s">
        <v>14</v>
      </c>
      <c r="B10" s="603" t="s">
        <v>19</v>
      </c>
      <c r="C10" s="603" t="s">
        <v>20</v>
      </c>
      <c r="D10" s="603" t="s">
        <v>21</v>
      </c>
      <c r="E10" s="603" t="s">
        <v>22</v>
      </c>
      <c r="F10" s="604" t="s">
        <v>23</v>
      </c>
      <c r="G10" s="604" t="s">
        <v>24</v>
      </c>
      <c r="H10" s="604" t="s">
        <v>25</v>
      </c>
      <c r="I10" s="604" t="s">
        <v>26</v>
      </c>
      <c r="J10" s="604" t="s">
        <v>27</v>
      </c>
      <c r="K10" s="604" t="s">
        <v>28</v>
      </c>
      <c r="L10" s="604" t="s">
        <v>29</v>
      </c>
      <c r="M10" s="604" t="s">
        <v>17</v>
      </c>
      <c r="N10" s="604" t="s">
        <v>18</v>
      </c>
      <c r="O10" s="594"/>
      <c r="P10" s="155"/>
    </row>
    <row r="11" spans="1:16" x14ac:dyDescent="0.3">
      <c r="A11" s="316">
        <v>10</v>
      </c>
      <c r="B11" s="517" t="s">
        <v>278</v>
      </c>
      <c r="C11" s="567"/>
      <c r="D11" s="568">
        <v>2.25</v>
      </c>
      <c r="E11" s="368">
        <f>J11*K11*L11</f>
        <v>6.3101440000000009E-2</v>
      </c>
      <c r="F11" s="366" t="s">
        <v>162</v>
      </c>
      <c r="G11" s="366"/>
      <c r="H11" s="367"/>
      <c r="I11" s="368" t="s">
        <v>165</v>
      </c>
      <c r="J11" s="369">
        <f>3.14*8*8/1000000</f>
        <v>2.0096E-4</v>
      </c>
      <c r="K11" s="395">
        <v>0.04</v>
      </c>
      <c r="L11" s="371">
        <v>7850</v>
      </c>
      <c r="M11" s="372">
        <v>1</v>
      </c>
      <c r="N11" s="373">
        <f>D11*E11*M11</f>
        <v>0.14197824000000003</v>
      </c>
      <c r="O11" s="374"/>
    </row>
    <row r="12" spans="1:16" x14ac:dyDescent="0.3">
      <c r="A12" s="617"/>
      <c r="B12" s="618"/>
      <c r="C12" s="618"/>
      <c r="D12" s="618"/>
      <c r="E12" s="618"/>
      <c r="F12" s="618"/>
      <c r="G12" s="618"/>
      <c r="H12" s="618"/>
      <c r="I12" s="618"/>
      <c r="J12" s="618"/>
      <c r="K12" s="618"/>
      <c r="L12" s="618"/>
      <c r="M12" s="619" t="s">
        <v>18</v>
      </c>
      <c r="N12" s="620">
        <f>SUM(N11:N11)</f>
        <v>0.14197824000000003</v>
      </c>
      <c r="O12" s="594"/>
      <c r="P12" s="155"/>
    </row>
    <row r="13" spans="1:16" x14ac:dyDescent="0.3">
      <c r="A13" s="621"/>
      <c r="B13" s="589"/>
      <c r="C13" s="589"/>
      <c r="D13" s="589"/>
      <c r="E13" s="589"/>
      <c r="F13" s="589"/>
      <c r="G13" s="589"/>
      <c r="H13" s="589"/>
      <c r="I13" s="589"/>
      <c r="J13" s="589"/>
      <c r="K13" s="589"/>
      <c r="L13" s="589"/>
      <c r="M13" s="589"/>
      <c r="N13" s="589"/>
      <c r="O13" s="594"/>
      <c r="P13" s="155"/>
    </row>
    <row r="14" spans="1:16" x14ac:dyDescent="0.3">
      <c r="A14" s="622" t="s">
        <v>14</v>
      </c>
      <c r="B14" s="604" t="s">
        <v>31</v>
      </c>
      <c r="C14" s="604" t="s">
        <v>20</v>
      </c>
      <c r="D14" s="604" t="s">
        <v>21</v>
      </c>
      <c r="E14" s="604" t="s">
        <v>32</v>
      </c>
      <c r="F14" s="604" t="s">
        <v>17</v>
      </c>
      <c r="G14" s="604" t="s">
        <v>33</v>
      </c>
      <c r="H14" s="604" t="s">
        <v>34</v>
      </c>
      <c r="I14" s="604" t="s">
        <v>18</v>
      </c>
      <c r="J14" s="618"/>
      <c r="K14" s="618"/>
      <c r="L14" s="618"/>
      <c r="M14" s="618"/>
      <c r="N14" s="618"/>
      <c r="O14" s="594"/>
      <c r="P14" s="155"/>
    </row>
    <row r="15" spans="1:16" ht="29.4" customHeight="1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6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0.11</v>
      </c>
      <c r="G16" s="391" t="s">
        <v>268</v>
      </c>
      <c r="H16" s="391">
        <v>3</v>
      </c>
      <c r="I16" s="340">
        <f>IF(H16="",D16*F16,D16*F16*H16)</f>
        <v>1.32E-2</v>
      </c>
      <c r="J16" s="346"/>
      <c r="K16" s="346"/>
      <c r="L16" s="346"/>
      <c r="M16" s="346"/>
      <c r="N16" s="346"/>
      <c r="O16" s="351"/>
    </row>
    <row r="17" spans="1:16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6" x14ac:dyDescent="0.3">
      <c r="A18" s="617"/>
      <c r="B18" s="618"/>
      <c r="C18" s="618"/>
      <c r="D18" s="618"/>
      <c r="E18" s="618"/>
      <c r="F18" s="618"/>
      <c r="G18" s="618"/>
      <c r="H18" s="633" t="s">
        <v>18</v>
      </c>
      <c r="I18" s="620">
        <f>SUM(I15:I17)</f>
        <v>1.0131999999999999</v>
      </c>
      <c r="J18" s="618"/>
      <c r="K18" s="618"/>
      <c r="L18" s="618"/>
      <c r="M18" s="618"/>
      <c r="N18" s="618"/>
      <c r="O18" s="594"/>
      <c r="P18" s="155"/>
    </row>
    <row r="19" spans="1:16" ht="15" thickBot="1" x14ac:dyDescent="0.35">
      <c r="A19" s="634"/>
      <c r="B19" s="635"/>
      <c r="C19" s="635"/>
      <c r="D19" s="635"/>
      <c r="E19" s="635"/>
      <c r="F19" s="635"/>
      <c r="G19" s="635"/>
      <c r="H19" s="635"/>
      <c r="I19" s="635"/>
      <c r="J19" s="635"/>
      <c r="K19" s="635"/>
      <c r="L19" s="635"/>
      <c r="M19" s="635"/>
      <c r="N19" s="635"/>
      <c r="O19" s="636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69" fitToHeight="99" orientation="landscape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7" s="184" customFormat="1" ht="17.399999999999999" customHeight="1" x14ac:dyDescent="0.3">
      <c r="A11" s="397">
        <v>10</v>
      </c>
      <c r="B11" s="398" t="s">
        <v>273</v>
      </c>
      <c r="C11" s="397" t="s">
        <v>274</v>
      </c>
      <c r="D11" s="399">
        <v>4.2</v>
      </c>
      <c r="E11" s="400">
        <v>12</v>
      </c>
      <c r="F11" s="397" t="s">
        <v>30</v>
      </c>
      <c r="G11" s="397"/>
      <c r="H11" s="401"/>
      <c r="I11" s="402" t="s">
        <v>275</v>
      </c>
      <c r="J11" s="403">
        <f>3.14*0.006^2</f>
        <v>1.1304E-4</v>
      </c>
      <c r="K11" s="404">
        <v>0.06</v>
      </c>
      <c r="L11" s="409">
        <v>2710</v>
      </c>
      <c r="M11" s="405">
        <v>1</v>
      </c>
      <c r="N11" s="340">
        <f>IF(J11="",D11*M11,D11*J11*K11*L11*M11)</f>
        <v>7.7197276800000006E-2</v>
      </c>
      <c r="O11" s="410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36">
        <v>10</v>
      </c>
      <c r="B15" s="333" t="s">
        <v>272</v>
      </c>
      <c r="C15" s="406"/>
      <c r="D15" s="407">
        <v>0.4</v>
      </c>
      <c r="E15" s="336" t="s">
        <v>40</v>
      </c>
      <c r="F15" s="336">
        <v>1</v>
      </c>
      <c r="G15" s="336"/>
      <c r="H15" s="336"/>
      <c r="I15" s="408">
        <f>IF(H15="",D15*F15,D15*F15*H15)</f>
        <v>0.4</v>
      </c>
      <c r="J15" s="382"/>
      <c r="K15" s="382"/>
      <c r="L15" s="382"/>
      <c r="M15" s="382"/>
      <c r="N15" s="382"/>
      <c r="O15" s="383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0866141732283472" right="0.70866141732283472" top="0.74803149606299213" bottom="0.74803149606299213" header="0.31496062992125984" footer="0.31496062992125984"/>
  <pageSetup paperSize="9" scale="83" fitToHeight="99" orientation="landscape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1.4969516249999999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197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289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1.4969516249999999</v>
      </c>
      <c r="O5" s="430"/>
    </row>
    <row r="6" spans="1:15" x14ac:dyDescent="0.3">
      <c r="A6" s="427" t="s">
        <v>7</v>
      </c>
      <c r="B6" s="433" t="s">
        <v>329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43.2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7.1670500000000012E-2</v>
      </c>
      <c r="F11" s="439" t="s">
        <v>212</v>
      </c>
      <c r="G11" s="439"/>
      <c r="H11" s="440"/>
      <c r="I11" s="441" t="s">
        <v>324</v>
      </c>
      <c r="J11" s="442">
        <f>0.083*0.022</f>
        <v>1.8259999999999999E-3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0.16125862500000002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3.6519999999999999E-3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3.6519999999999997E-2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0.19777862500000001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0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18.5</v>
      </c>
      <c r="G17" s="447"/>
      <c r="H17" s="450"/>
      <c r="I17" s="451">
        <f>IF(H17="",D17*F17,D17*F17*H17)</f>
        <v>0.185</v>
      </c>
      <c r="J17" s="305"/>
      <c r="K17" s="411"/>
      <c r="L17" s="411"/>
      <c r="M17" s="411"/>
      <c r="N17" s="411"/>
      <c r="O17" s="430"/>
    </row>
    <row r="18" spans="1:15" ht="31.2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3.6519999999999999E-3</v>
      </c>
      <c r="G20" s="447"/>
      <c r="H20" s="450"/>
      <c r="I20" s="458">
        <f>F20*D20</f>
        <v>1.9172999999999999E-2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1.2991729999999999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69" fitToHeight="99" orientation="landscape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313</v>
      </c>
    </row>
  </sheetData>
  <hyperlinks>
    <hyperlink ref="B1" location="SU_03008" display="SU_03008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2">
        <v>10</v>
      </c>
      <c r="B15" s="333" t="s">
        <v>39</v>
      </c>
      <c r="C15" s="332"/>
      <c r="D15" s="334">
        <v>1.3</v>
      </c>
      <c r="E15" s="333" t="s">
        <v>32</v>
      </c>
      <c r="F15" s="332">
        <v>1</v>
      </c>
      <c r="G15" s="332" t="s">
        <v>295</v>
      </c>
      <c r="H15" s="332">
        <v>0.5</v>
      </c>
      <c r="I15" s="335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36">
        <v>20</v>
      </c>
      <c r="B16" s="333" t="s">
        <v>159</v>
      </c>
      <c r="C16" s="337" t="s">
        <v>263</v>
      </c>
      <c r="D16" s="338">
        <v>0.04</v>
      </c>
      <c r="E16" s="336" t="s">
        <v>161</v>
      </c>
      <c r="F16" s="339">
        <v>17</v>
      </c>
      <c r="G16" s="333" t="s">
        <v>264</v>
      </c>
      <c r="H16" s="237">
        <v>1</v>
      </c>
      <c r="I16" s="340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2">
        <v>30</v>
      </c>
      <c r="B17" s="333" t="s">
        <v>158</v>
      </c>
      <c r="C17" s="332"/>
      <c r="D17" s="334">
        <v>0.65</v>
      </c>
      <c r="E17" s="333" t="s">
        <v>32</v>
      </c>
      <c r="F17" s="332">
        <v>1</v>
      </c>
      <c r="G17" s="332" t="s">
        <v>295</v>
      </c>
      <c r="H17" s="332">
        <v>0.5</v>
      </c>
      <c r="I17" s="335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36">
        <v>40</v>
      </c>
      <c r="B18" s="333" t="s">
        <v>159</v>
      </c>
      <c r="C18" s="337" t="s">
        <v>265</v>
      </c>
      <c r="D18" s="338">
        <v>0.04</v>
      </c>
      <c r="E18" s="336" t="s">
        <v>161</v>
      </c>
      <c r="F18" s="339">
        <v>2</v>
      </c>
      <c r="G18" s="333" t="s">
        <v>264</v>
      </c>
      <c r="H18" s="237">
        <v>1</v>
      </c>
      <c r="I18" s="340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2">
        <v>50</v>
      </c>
      <c r="B19" s="333" t="s">
        <v>158</v>
      </c>
      <c r="C19" s="332"/>
      <c r="D19" s="334">
        <v>0.65</v>
      </c>
      <c r="E19" s="333" t="s">
        <v>32</v>
      </c>
      <c r="F19" s="332">
        <v>1</v>
      </c>
      <c r="G19" s="332"/>
      <c r="H19" s="332"/>
      <c r="I19" s="335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36">
        <v>60</v>
      </c>
      <c r="B20" s="333" t="s">
        <v>159</v>
      </c>
      <c r="C20" s="337" t="s">
        <v>266</v>
      </c>
      <c r="D20" s="338">
        <v>0.04</v>
      </c>
      <c r="E20" s="336" t="s">
        <v>161</v>
      </c>
      <c r="F20" s="339">
        <v>2.2999999999999998</v>
      </c>
      <c r="G20" s="333" t="s">
        <v>264</v>
      </c>
      <c r="H20" s="237">
        <v>1</v>
      </c>
      <c r="I20" s="340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66" fitToHeight="99" orientation="landscape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1.49211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197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290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1.49211</v>
      </c>
      <c r="O5" s="430"/>
    </row>
    <row r="6" spans="1:15" x14ac:dyDescent="0.3">
      <c r="A6" s="427" t="s">
        <v>7</v>
      </c>
      <c r="B6" s="433" t="s">
        <v>330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43.2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6.9079999999999989E-2</v>
      </c>
      <c r="F11" s="439" t="s">
        <v>212</v>
      </c>
      <c r="G11" s="439"/>
      <c r="H11" s="440"/>
      <c r="I11" s="441" t="s">
        <v>325</v>
      </c>
      <c r="J11" s="442">
        <f>0.08*0.022</f>
        <v>1.7599999999999998E-3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0.15543000000000001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3.5199999999999997E-3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3.5199999999999995E-2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0.19063000000000002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2.4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18.8</v>
      </c>
      <c r="G17" s="447"/>
      <c r="H17" s="450"/>
      <c r="I17" s="451">
        <f>IF(H17="",D17*F17,D17*F17*H17)</f>
        <v>0.188</v>
      </c>
      <c r="J17" s="305"/>
      <c r="K17" s="411"/>
      <c r="L17" s="411"/>
      <c r="M17" s="411"/>
      <c r="N17" s="411"/>
      <c r="O17" s="430"/>
    </row>
    <row r="18" spans="1:15" ht="43.2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3.5199999999999997E-3</v>
      </c>
      <c r="G20" s="447"/>
      <c r="H20" s="450"/>
      <c r="I20" s="458">
        <f>F20*D20</f>
        <v>1.848E-2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1.30148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71" fitToHeight="99" orientation="landscape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314</v>
      </c>
    </row>
  </sheetData>
  <hyperlinks>
    <hyperlink ref="B1" location="SU_03009" display="SU_03009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1.2680301249999999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197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291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1.2680301249999999</v>
      </c>
      <c r="O5" s="430"/>
    </row>
    <row r="6" spans="1:15" x14ac:dyDescent="0.3">
      <c r="A6" s="427" t="s">
        <v>7</v>
      </c>
      <c r="B6" s="433" t="s">
        <v>331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2" customHeight="1" x14ac:dyDescent="0.3">
      <c r="A11" s="434">
        <v>10</v>
      </c>
      <c r="B11" s="435" t="s">
        <v>278</v>
      </c>
      <c r="C11" s="637" t="s">
        <v>279</v>
      </c>
      <c r="D11" s="437">
        <v>2.25</v>
      </c>
      <c r="E11" s="438">
        <f>J11*K11*L11</f>
        <v>2.6768500000000001E-2</v>
      </c>
      <c r="F11" s="439" t="s">
        <v>212</v>
      </c>
      <c r="G11" s="439"/>
      <c r="H11" s="440"/>
      <c r="I11" s="441" t="s">
        <v>326</v>
      </c>
      <c r="J11" s="442">
        <f>0.031*0.022</f>
        <v>6.8199999999999999E-4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6.0229125000000001E-2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1.364E-3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1.3639999999999999E-2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7.3869125000000008E-2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3" customHeight="1" x14ac:dyDescent="0.3">
      <c r="A16" s="446">
        <v>10</v>
      </c>
      <c r="B16" s="447" t="s">
        <v>39</v>
      </c>
      <c r="C16" s="448" t="s">
        <v>312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9.1999999999999993</v>
      </c>
      <c r="G17" s="447"/>
      <c r="H17" s="450"/>
      <c r="I17" s="451">
        <f>IF(H17="",D17*F17,D17*F17*H17)</f>
        <v>9.1999999999999998E-2</v>
      </c>
      <c r="J17" s="305"/>
      <c r="K17" s="411"/>
      <c r="L17" s="411"/>
      <c r="M17" s="411"/>
      <c r="N17" s="411"/>
      <c r="O17" s="430"/>
    </row>
    <row r="18" spans="1:15" ht="43.2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1.364E-3</v>
      </c>
      <c r="G20" s="447"/>
      <c r="H20" s="450"/>
      <c r="I20" s="458">
        <f>F20*D20</f>
        <v>7.1609999999999998E-3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1.1941609999999998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71" fitToHeight="99" orientation="landscape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315</v>
      </c>
    </row>
  </sheetData>
  <hyperlinks>
    <hyperlink ref="B1" location="SU_03010" display="SU_03010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6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1.3787631249999999</v>
      </c>
      <c r="O2" s="430"/>
    </row>
    <row r="3" spans="1:15" x14ac:dyDescent="0.3">
      <c r="A3" s="427" t="s">
        <v>3</v>
      </c>
      <c r="B3" s="16" t="str">
        <f>'SU A0200'!B3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197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292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1.3787631249999999</v>
      </c>
      <c r="O5" s="430"/>
    </row>
    <row r="6" spans="1:15" x14ac:dyDescent="0.3">
      <c r="A6" s="427" t="s">
        <v>7</v>
      </c>
      <c r="B6" s="433" t="s">
        <v>328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43.2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4.74925E-2</v>
      </c>
      <c r="F11" s="439" t="s">
        <v>212</v>
      </c>
      <c r="G11" s="439"/>
      <c r="H11" s="440"/>
      <c r="I11" s="441" t="s">
        <v>327</v>
      </c>
      <c r="J11" s="442">
        <f>0.055*0.022</f>
        <v>1.2099999999999999E-3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0.10685812499999998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2.4199999999999998E-3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2.4199999999999999E-2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0.13105812499999997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28.2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14</v>
      </c>
      <c r="G17" s="447"/>
      <c r="H17" s="450"/>
      <c r="I17" s="451">
        <f>IF(H17="",D17*F17,D17*F17*H17)</f>
        <v>0.14000000000000001</v>
      </c>
      <c r="J17" s="305"/>
      <c r="K17" s="411"/>
      <c r="L17" s="411"/>
      <c r="M17" s="411"/>
      <c r="N17" s="411"/>
      <c r="O17" s="430"/>
    </row>
    <row r="18" spans="1:15" ht="28.8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ht="13.2" customHeight="1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2.4199999999999998E-3</v>
      </c>
      <c r="G20" s="447"/>
      <c r="H20" s="450"/>
      <c r="I20" s="458">
        <f>F20*D20</f>
        <v>1.2704999999999999E-2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1.2477049999999998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0866141732283472" right="0.70866141732283472" top="0.74803149606299213" bottom="0.74803149606299213" header="0.31496062992125984" footer="0.31496062992125984"/>
  <pageSetup paperSize="9" scale="69" fitToHeight="99" orientation="landscape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316</v>
      </c>
    </row>
  </sheetData>
  <hyperlinks>
    <hyperlink ref="B1" location="SU_03011" display="SU_0301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view="pageLayout" zoomScale="70" zoomScaleNormal="70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1</v>
      </c>
      <c r="E10" s="74">
        <f t="shared" ref="E10:E20" si="0">C10*D10</f>
        <v>8.9540000000000006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1</v>
      </c>
      <c r="E12" s="74">
        <f t="shared" si="0"/>
        <v>12.033390599999997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1</v>
      </c>
      <c r="E13" s="74">
        <f t="shared" si="0"/>
        <v>7.4075677199999985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2</v>
      </c>
      <c r="E14" s="74">
        <f t="shared" si="0"/>
        <v>5.3353715136000002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0">
        <v>80</v>
      </c>
      <c r="B17" s="570" t="str">
        <f>'SU 04008'!B5</f>
        <v>Front up bracket</v>
      </c>
      <c r="C17" s="496">
        <f>'SU 04008'!N2</f>
        <v>1.3905750000000001</v>
      </c>
      <c r="D17" s="480">
        <f>SU_04008_q</f>
        <v>1</v>
      </c>
      <c r="E17" s="74">
        <f t="shared" si="0"/>
        <v>1.3905750000000001</v>
      </c>
      <c r="F17" s="346"/>
      <c r="G17" s="346"/>
      <c r="H17" s="346"/>
      <c r="I17" s="346"/>
      <c r="J17" s="346"/>
      <c r="K17" s="346"/>
      <c r="L17" s="346"/>
      <c r="M17" s="346"/>
      <c r="N17" s="346"/>
      <c r="O17" s="351"/>
    </row>
    <row r="18" spans="1:15" s="17" customFormat="1" x14ac:dyDescent="0.3">
      <c r="A18" s="490">
        <v>90</v>
      </c>
      <c r="B18" s="570" t="str">
        <f>'SU 04009'!B5</f>
        <v>Front down bracket</v>
      </c>
      <c r="C18" s="496">
        <f>'SU 04009'!N2</f>
        <v>1.3814265000000003</v>
      </c>
      <c r="D18" s="480">
        <f>SU_04009_q</f>
        <v>1</v>
      </c>
      <c r="E18" s="74">
        <f t="shared" si="0"/>
        <v>1.3814265000000003</v>
      </c>
      <c r="F18" s="346"/>
      <c r="G18" s="346"/>
      <c r="H18" s="346"/>
      <c r="I18" s="346"/>
      <c r="J18" s="346"/>
      <c r="K18" s="346"/>
      <c r="L18" s="346"/>
      <c r="M18" s="346"/>
      <c r="N18" s="346"/>
      <c r="O18" s="351"/>
    </row>
    <row r="19" spans="1:15" s="17" customFormat="1" x14ac:dyDescent="0.3">
      <c r="A19" s="490">
        <v>100</v>
      </c>
      <c r="B19" s="570" t="str">
        <f>'SU 04010'!B5</f>
        <v>Rear up bracket</v>
      </c>
      <c r="C19" s="496">
        <f>'SU 04010'!N2</f>
        <v>1.8130709999999999</v>
      </c>
      <c r="D19" s="480">
        <f>SU_04010_q</f>
        <v>1</v>
      </c>
      <c r="E19" s="74">
        <f t="shared" si="0"/>
        <v>1.8130709999999999</v>
      </c>
      <c r="F19" s="346"/>
      <c r="G19" s="346"/>
      <c r="H19" s="346"/>
      <c r="I19" s="346"/>
      <c r="J19" s="346"/>
      <c r="K19" s="346"/>
      <c r="L19" s="346"/>
      <c r="M19" s="346"/>
      <c r="N19" s="346"/>
      <c r="O19" s="351"/>
    </row>
    <row r="20" spans="1:15" s="17" customFormat="1" x14ac:dyDescent="0.3">
      <c r="A20" s="490">
        <v>110</v>
      </c>
      <c r="B20" s="570" t="str">
        <f>'SU 04011'!B5</f>
        <v>Rear down bracket</v>
      </c>
      <c r="C20" s="496">
        <f>'SU 04011'!N2</f>
        <v>1.9015070000000001</v>
      </c>
      <c r="D20" s="480">
        <f>SU_04011_q</f>
        <v>1</v>
      </c>
      <c r="E20" s="74">
        <f t="shared" si="0"/>
        <v>1.9015070000000001</v>
      </c>
      <c r="F20" s="346"/>
      <c r="G20" s="346"/>
      <c r="H20" s="346"/>
      <c r="I20" s="346"/>
      <c r="J20" s="346"/>
      <c r="K20" s="346"/>
      <c r="L20" s="346"/>
      <c r="M20" s="346"/>
      <c r="N20" s="346"/>
      <c r="O20" s="351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2" t="s">
        <v>142</v>
      </c>
      <c r="C30" s="227" t="s">
        <v>240</v>
      </c>
      <c r="D30" s="279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79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2" t="s">
        <v>139</v>
      </c>
      <c r="C31" s="227" t="s">
        <v>241</v>
      </c>
      <c r="D31" s="279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79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2" t="s">
        <v>142</v>
      </c>
      <c r="C32" s="227" t="s">
        <v>243</v>
      </c>
      <c r="D32" s="279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79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2" t="s">
        <v>225</v>
      </c>
      <c r="C33" s="232" t="s">
        <v>245</v>
      </c>
      <c r="D33" s="279">
        <v>0.06</v>
      </c>
      <c r="E33" s="282" t="s">
        <v>32</v>
      </c>
      <c r="F33" s="237">
        <v>1</v>
      </c>
      <c r="G33" s="237" t="s">
        <v>224</v>
      </c>
      <c r="H33" s="237">
        <v>2</v>
      </c>
      <c r="I33" s="279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2" t="s">
        <v>142</v>
      </c>
      <c r="C34" s="227" t="s">
        <v>246</v>
      </c>
      <c r="D34" s="279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79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2" t="s">
        <v>139</v>
      </c>
      <c r="C35" s="227" t="s">
        <v>247</v>
      </c>
      <c r="D35" s="279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79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2" t="s">
        <v>142</v>
      </c>
      <c r="C36" s="227" t="s">
        <v>226</v>
      </c>
      <c r="D36" s="279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79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2" t="s">
        <v>225</v>
      </c>
      <c r="C37" s="232" t="s">
        <v>248</v>
      </c>
      <c r="D37" s="279">
        <v>0.14000000000000001</v>
      </c>
      <c r="E37" s="282" t="s">
        <v>32</v>
      </c>
      <c r="F37" s="237">
        <v>1</v>
      </c>
      <c r="G37" s="237" t="s">
        <v>224</v>
      </c>
      <c r="H37" s="237">
        <v>2</v>
      </c>
      <c r="I37" s="279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2" t="s">
        <v>142</v>
      </c>
      <c r="C38" s="227" t="s">
        <v>242</v>
      </c>
      <c r="D38" s="279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79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2" t="s">
        <v>139</v>
      </c>
      <c r="C39" s="227" t="s">
        <v>244</v>
      </c>
      <c r="D39" s="279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79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2" t="s">
        <v>142</v>
      </c>
      <c r="C40" s="227" t="s">
        <v>226</v>
      </c>
      <c r="D40" s="279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79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2" t="s">
        <v>225</v>
      </c>
      <c r="C41" s="232" t="s">
        <v>249</v>
      </c>
      <c r="D41" s="279">
        <v>0.22</v>
      </c>
      <c r="E41" s="282" t="s">
        <v>32</v>
      </c>
      <c r="F41" s="237">
        <v>1</v>
      </c>
      <c r="G41" s="237" t="s">
        <v>224</v>
      </c>
      <c r="H41" s="237">
        <v>2</v>
      </c>
      <c r="I41" s="279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2" t="s">
        <v>142</v>
      </c>
      <c r="C42" s="227" t="s">
        <v>227</v>
      </c>
      <c r="D42" s="279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79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79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79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2" t="s">
        <v>225</v>
      </c>
      <c r="C44" s="227" t="s">
        <v>230</v>
      </c>
      <c r="D44" s="279">
        <v>0.3</v>
      </c>
      <c r="E44" s="282" t="s">
        <v>32</v>
      </c>
      <c r="F44" s="237">
        <v>1</v>
      </c>
      <c r="G44" s="237" t="s">
        <v>228</v>
      </c>
      <c r="H44" s="237">
        <v>3</v>
      </c>
      <c r="I44" s="279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79">
        <v>0.15</v>
      </c>
      <c r="E45" s="226" t="s">
        <v>140</v>
      </c>
      <c r="F45" s="237">
        <v>22</v>
      </c>
      <c r="G45" s="237"/>
      <c r="H45" s="221"/>
      <c r="I45" s="279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2" t="s">
        <v>233</v>
      </c>
      <c r="C46" s="232" t="s">
        <v>234</v>
      </c>
      <c r="D46" s="279">
        <v>5.25</v>
      </c>
      <c r="E46" s="282" t="s">
        <v>143</v>
      </c>
      <c r="F46" s="237">
        <v>0.01</v>
      </c>
      <c r="G46" s="237"/>
      <c r="H46" s="221"/>
      <c r="I46" s="279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79">
        <v>0.14000000000000001</v>
      </c>
      <c r="E47" s="226" t="s">
        <v>32</v>
      </c>
      <c r="F47" s="237">
        <v>1</v>
      </c>
      <c r="G47" s="237"/>
      <c r="H47" s="221"/>
      <c r="I47" s="279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2" t="s">
        <v>141</v>
      </c>
      <c r="C48" s="232" t="s">
        <v>236</v>
      </c>
      <c r="D48" s="279">
        <v>0.13</v>
      </c>
      <c r="E48" s="282" t="s">
        <v>32</v>
      </c>
      <c r="F48" s="237">
        <v>4</v>
      </c>
      <c r="G48" s="237"/>
      <c r="H48" s="221"/>
      <c r="I48" s="279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2" t="s">
        <v>141</v>
      </c>
      <c r="C49" s="232" t="s">
        <v>237</v>
      </c>
      <c r="D49" s="279">
        <v>0.13</v>
      </c>
      <c r="E49" s="282" t="s">
        <v>32</v>
      </c>
      <c r="F49" s="237">
        <v>8</v>
      </c>
      <c r="G49" s="237"/>
      <c r="H49" s="221"/>
      <c r="I49" s="279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79">
        <v>0.13</v>
      </c>
      <c r="E50" s="226" t="s">
        <v>32</v>
      </c>
      <c r="F50" s="237">
        <v>2</v>
      </c>
      <c r="G50" s="237"/>
      <c r="H50" s="221"/>
      <c r="I50" s="279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2" t="s">
        <v>145</v>
      </c>
      <c r="C51" s="232" t="s">
        <v>239</v>
      </c>
      <c r="D51" s="279">
        <v>0.25</v>
      </c>
      <c r="E51" s="282" t="s">
        <v>32</v>
      </c>
      <c r="F51" s="237">
        <v>2</v>
      </c>
      <c r="G51" s="237"/>
      <c r="H51" s="221"/>
      <c r="I51" s="279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7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0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0866141732283472" right="0.70866141732283472" top="0.74803149606299213" bottom="0.74803149606299213" header="0.31496062992125984" footer="0.31496062992125984"/>
  <pageSetup paperSize="9" scale="56" firstPageNumber="0" fitToHeight="99" orientation="landscape" r:id="rId1"/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view="pageLayout" zoomScale="70" zoomScaleNormal="106" zoomScalePageLayoutView="70" workbookViewId="0">
      <selection activeCell="E32" sqref="E32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1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8.9540000000000006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08">
        <v>10</v>
      </c>
      <c r="B11" s="509" t="s">
        <v>273</v>
      </c>
      <c r="C11" s="508" t="s">
        <v>299</v>
      </c>
      <c r="D11" s="510">
        <v>4.2</v>
      </c>
      <c r="E11" s="511"/>
      <c r="F11" s="508"/>
      <c r="G11" s="508"/>
      <c r="H11" s="512"/>
      <c r="I11" s="318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3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1" customFormat="1" ht="30.6" customHeight="1" x14ac:dyDescent="0.3">
      <c r="A15" s="513">
        <v>10</v>
      </c>
      <c r="B15" s="330" t="s">
        <v>39</v>
      </c>
      <c r="C15" s="514"/>
      <c r="D15" s="515">
        <v>1.3</v>
      </c>
      <c r="E15" s="330" t="s">
        <v>32</v>
      </c>
      <c r="F15" s="514">
        <v>1</v>
      </c>
      <c r="G15" s="514"/>
      <c r="H15" s="514"/>
      <c r="I15" s="516">
        <f t="shared" ref="I15:I22" si="0">IF(H15="",D15*F15,D15*F15*H15)</f>
        <v>1.3</v>
      </c>
      <c r="J15" s="519"/>
      <c r="K15" s="519"/>
      <c r="L15" s="519"/>
      <c r="M15" s="519"/>
      <c r="N15" s="519"/>
      <c r="O15" s="520"/>
    </row>
    <row r="16" spans="1:19" s="521" customFormat="1" ht="29.4" customHeight="1" x14ac:dyDescent="0.3">
      <c r="A16" s="316">
        <v>20</v>
      </c>
      <c r="B16" s="330" t="s">
        <v>159</v>
      </c>
      <c r="C16" s="517" t="s">
        <v>302</v>
      </c>
      <c r="D16" s="299">
        <v>0.04</v>
      </c>
      <c r="E16" s="316" t="s">
        <v>161</v>
      </c>
      <c r="F16" s="288">
        <v>27</v>
      </c>
      <c r="G16" s="330" t="s">
        <v>264</v>
      </c>
      <c r="H16" s="518">
        <v>1</v>
      </c>
      <c r="I16" s="300">
        <f t="shared" si="0"/>
        <v>1.08</v>
      </c>
      <c r="J16" s="522"/>
      <c r="K16" s="522"/>
      <c r="L16" s="522"/>
      <c r="M16" s="522"/>
      <c r="N16" s="522"/>
      <c r="O16" s="523"/>
    </row>
    <row r="17" spans="1:15" s="521" customFormat="1" ht="16.2" customHeight="1" x14ac:dyDescent="0.3">
      <c r="A17" s="513">
        <v>30</v>
      </c>
      <c r="B17" s="330" t="s">
        <v>158</v>
      </c>
      <c r="C17" s="514"/>
      <c r="D17" s="515">
        <v>0.65</v>
      </c>
      <c r="E17" s="330" t="s">
        <v>32</v>
      </c>
      <c r="F17" s="514">
        <v>1</v>
      </c>
      <c r="G17" s="514"/>
      <c r="H17" s="514"/>
      <c r="I17" s="516">
        <f t="shared" si="0"/>
        <v>0.65</v>
      </c>
      <c r="J17" s="524"/>
      <c r="K17" s="524"/>
      <c r="L17" s="524"/>
      <c r="M17" s="524"/>
      <c r="N17" s="524"/>
      <c r="O17" s="525"/>
    </row>
    <row r="18" spans="1:15" s="521" customFormat="1" ht="27" customHeight="1" x14ac:dyDescent="0.3">
      <c r="A18" s="316">
        <v>40</v>
      </c>
      <c r="B18" s="330" t="s">
        <v>159</v>
      </c>
      <c r="C18" s="517" t="s">
        <v>257</v>
      </c>
      <c r="D18" s="299">
        <v>0.04</v>
      </c>
      <c r="E18" s="316" t="s">
        <v>161</v>
      </c>
      <c r="F18" s="288">
        <v>2.2999999999999998</v>
      </c>
      <c r="G18" s="330" t="s">
        <v>264</v>
      </c>
      <c r="H18" s="518">
        <v>1</v>
      </c>
      <c r="I18" s="300">
        <f t="shared" si="0"/>
        <v>9.1999999999999998E-2</v>
      </c>
      <c r="J18" s="522"/>
      <c r="K18" s="522"/>
      <c r="L18" s="522"/>
      <c r="M18" s="522"/>
      <c r="N18" s="522"/>
      <c r="O18" s="523"/>
    </row>
    <row r="19" spans="1:15" s="521" customFormat="1" ht="15.6" customHeight="1" x14ac:dyDescent="0.3">
      <c r="A19" s="513">
        <v>50</v>
      </c>
      <c r="B19" s="330" t="s">
        <v>158</v>
      </c>
      <c r="C19" s="514"/>
      <c r="D19" s="515">
        <v>0.65</v>
      </c>
      <c r="E19" s="330" t="s">
        <v>32</v>
      </c>
      <c r="F19" s="514">
        <v>1</v>
      </c>
      <c r="G19" s="514"/>
      <c r="H19" s="514"/>
      <c r="I19" s="516">
        <f t="shared" si="0"/>
        <v>0.65</v>
      </c>
      <c r="J19" s="522"/>
      <c r="K19" s="522"/>
      <c r="L19" s="522"/>
      <c r="M19" s="522"/>
      <c r="N19" s="522"/>
      <c r="O19" s="523"/>
    </row>
    <row r="20" spans="1:15" s="521" customFormat="1" ht="28.2" customHeight="1" x14ac:dyDescent="0.3">
      <c r="A20" s="316">
        <v>60</v>
      </c>
      <c r="B20" s="330" t="s">
        <v>159</v>
      </c>
      <c r="C20" s="517" t="s">
        <v>258</v>
      </c>
      <c r="D20" s="299">
        <v>0.04</v>
      </c>
      <c r="E20" s="316" t="s">
        <v>161</v>
      </c>
      <c r="F20" s="288">
        <v>2.2999999999999998</v>
      </c>
      <c r="G20" s="330" t="s">
        <v>264</v>
      </c>
      <c r="H20" s="518">
        <v>1</v>
      </c>
      <c r="I20" s="300">
        <f t="shared" si="0"/>
        <v>9.1999999999999998E-2</v>
      </c>
      <c r="J20" s="522"/>
      <c r="K20" s="522"/>
      <c r="L20" s="522"/>
      <c r="M20" s="522"/>
      <c r="N20" s="522"/>
      <c r="O20" s="523"/>
    </row>
    <row r="21" spans="1:15" s="521" customFormat="1" ht="28.8" customHeight="1" x14ac:dyDescent="0.3">
      <c r="A21" s="513">
        <v>70</v>
      </c>
      <c r="B21" s="330" t="s">
        <v>158</v>
      </c>
      <c r="C21" s="514"/>
      <c r="D21" s="515">
        <v>0.65</v>
      </c>
      <c r="E21" s="330" t="s">
        <v>32</v>
      </c>
      <c r="F21" s="514">
        <v>1</v>
      </c>
      <c r="G21" s="514"/>
      <c r="H21" s="514"/>
      <c r="I21" s="516">
        <f t="shared" si="0"/>
        <v>0.65</v>
      </c>
      <c r="J21" s="526"/>
      <c r="K21" s="526"/>
      <c r="L21" s="526"/>
      <c r="M21" s="526"/>
      <c r="N21" s="526"/>
      <c r="O21" s="523"/>
    </row>
    <row r="22" spans="1:15" s="521" customFormat="1" ht="27.6" customHeight="1" x14ac:dyDescent="0.3">
      <c r="A22" s="316">
        <v>80</v>
      </c>
      <c r="B22" s="330" t="s">
        <v>159</v>
      </c>
      <c r="C22" s="517" t="s">
        <v>300</v>
      </c>
      <c r="D22" s="299">
        <v>0.04</v>
      </c>
      <c r="E22" s="316" t="s">
        <v>161</v>
      </c>
      <c r="F22" s="288">
        <v>6</v>
      </c>
      <c r="G22" s="330" t="s">
        <v>264</v>
      </c>
      <c r="H22" s="518">
        <v>1</v>
      </c>
      <c r="I22" s="300">
        <f t="shared" si="0"/>
        <v>0.24</v>
      </c>
      <c r="J22" s="527"/>
      <c r="K22" s="522"/>
      <c r="L22" s="522"/>
      <c r="M22" s="522"/>
      <c r="N22" s="522"/>
      <c r="O22" s="523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0866141732283472" right="0.70866141732283472" top="0.74803149606299213" bottom="0.74803149606299213" header="0.31496062992125984" footer="0.31496062992125984"/>
  <pageSetup paperSize="9" scale="82" firstPageNumber="0" fitToHeight="99" orientation="landscape" r:id="rId1"/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1" t="s">
        <v>216</v>
      </c>
    </row>
  </sheetData>
  <hyperlinks>
    <hyperlink ref="B1" location="SU_04001" display="SU_04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1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3">
        <f>4.2</f>
        <v>4.2</v>
      </c>
      <c r="E11" s="263">
        <f>J11*K11*L11</f>
        <v>0.20437632</v>
      </c>
      <c r="F11" s="20" t="s">
        <v>162</v>
      </c>
      <c r="G11" s="20"/>
      <c r="H11" s="284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3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2">
        <v>10</v>
      </c>
      <c r="B15" s="333" t="s">
        <v>39</v>
      </c>
      <c r="C15" s="332"/>
      <c r="D15" s="334">
        <v>1.3</v>
      </c>
      <c r="E15" s="333" t="s">
        <v>32</v>
      </c>
      <c r="F15" s="332">
        <v>1</v>
      </c>
      <c r="G15" s="332" t="s">
        <v>295</v>
      </c>
      <c r="H15" s="332">
        <v>0.5</v>
      </c>
      <c r="I15" s="335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36">
        <v>20</v>
      </c>
      <c r="B16" s="333" t="s">
        <v>159</v>
      </c>
      <c r="C16" s="337" t="s">
        <v>263</v>
      </c>
      <c r="D16" s="338">
        <v>0.04</v>
      </c>
      <c r="E16" s="336" t="s">
        <v>161</v>
      </c>
      <c r="F16" s="339">
        <v>17</v>
      </c>
      <c r="G16" s="333" t="s">
        <v>321</v>
      </c>
      <c r="H16" s="237">
        <v>1</v>
      </c>
      <c r="I16" s="340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2">
        <v>30</v>
      </c>
      <c r="B17" s="333" t="s">
        <v>158</v>
      </c>
      <c r="C17" s="332"/>
      <c r="D17" s="334">
        <v>0.65</v>
      </c>
      <c r="E17" s="333" t="s">
        <v>32</v>
      </c>
      <c r="F17" s="332">
        <v>1</v>
      </c>
      <c r="G17" s="332" t="s">
        <v>295</v>
      </c>
      <c r="H17" s="332">
        <v>0.5</v>
      </c>
      <c r="I17" s="335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36">
        <v>40</v>
      </c>
      <c r="B18" s="333" t="s">
        <v>159</v>
      </c>
      <c r="C18" s="337" t="s">
        <v>265</v>
      </c>
      <c r="D18" s="338">
        <v>0.04</v>
      </c>
      <c r="E18" s="336" t="s">
        <v>161</v>
      </c>
      <c r="F18" s="339">
        <v>2</v>
      </c>
      <c r="G18" s="333" t="s">
        <v>264</v>
      </c>
      <c r="H18" s="237">
        <v>1</v>
      </c>
      <c r="I18" s="340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2">
        <v>50</v>
      </c>
      <c r="B19" s="333" t="s">
        <v>158</v>
      </c>
      <c r="C19" s="332"/>
      <c r="D19" s="334">
        <v>0.65</v>
      </c>
      <c r="E19" s="333" t="s">
        <v>32</v>
      </c>
      <c r="F19" s="332">
        <v>1</v>
      </c>
      <c r="G19" s="332"/>
      <c r="H19" s="332"/>
      <c r="I19" s="335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36">
        <v>60</v>
      </c>
      <c r="B20" s="333" t="s">
        <v>159</v>
      </c>
      <c r="C20" s="337" t="s">
        <v>266</v>
      </c>
      <c r="D20" s="338">
        <v>0.04</v>
      </c>
      <c r="E20" s="336" t="s">
        <v>161</v>
      </c>
      <c r="F20" s="339">
        <v>2.2999999999999998</v>
      </c>
      <c r="G20" s="333" t="s">
        <v>320</v>
      </c>
      <c r="H20" s="237">
        <v>1</v>
      </c>
      <c r="I20" s="340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56" fitToHeight="99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0866141732283472" right="0.70866141732283472" top="0.74803149606299213" bottom="0.74803149606299213" header="0.31496062992125984" footer="0.31496062992125984"/>
  <pageSetup paperSize="9" scale="97" fitToHeight="99" orientation="landscape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1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0866141732283472" right="0.70866141732283472" top="0.74803149606299213" bottom="0.74803149606299213" header="0.31496062992125984" footer="0.31496062992125984"/>
  <pageSetup paperSize="9" scale="83" fitToHeight="99" orientation="landscape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12.033390599999997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84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3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79">
        <v>25</v>
      </c>
      <c r="E15" s="282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2" fitToHeight="99" orientation="landscape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8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7.4075677199999985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84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3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79">
        <v>25</v>
      </c>
      <c r="E15" s="282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59" fitToHeight="99" orientation="landscape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22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1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5.3353715136000002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1" t="s">
        <v>222</v>
      </c>
    </row>
  </sheetData>
  <hyperlinks>
    <hyperlink ref="B1" location="SU_04005" display="SU_04005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38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38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38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16">
        <v>10</v>
      </c>
      <c r="B11" s="517" t="s">
        <v>278</v>
      </c>
      <c r="C11" s="567"/>
      <c r="D11" s="568">
        <v>2.25</v>
      </c>
      <c r="E11" s="368">
        <f>J11*K11*L11</f>
        <v>6.3101440000000009E-2</v>
      </c>
      <c r="F11" s="366" t="s">
        <v>162</v>
      </c>
      <c r="G11" s="366"/>
      <c r="H11" s="367"/>
      <c r="I11" s="368" t="s">
        <v>165</v>
      </c>
      <c r="J11" s="369">
        <f>3.14*8*8/1000000</f>
        <v>2.0096E-4</v>
      </c>
      <c r="K11" s="395">
        <v>0.04</v>
      </c>
      <c r="L11" s="371">
        <v>7850</v>
      </c>
      <c r="M11" s="372">
        <v>1</v>
      </c>
      <c r="N11" s="373">
        <f>D11*E11*M11</f>
        <v>0.14197824000000003</v>
      </c>
      <c r="O11" s="374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3">
        <v>10</v>
      </c>
      <c r="B15" s="333" t="s">
        <v>39</v>
      </c>
      <c r="C15" s="333" t="s">
        <v>134</v>
      </c>
      <c r="D15" s="338">
        <v>1.3</v>
      </c>
      <c r="E15" s="333" t="s">
        <v>32</v>
      </c>
      <c r="F15" s="237">
        <v>1</v>
      </c>
      <c r="G15" s="332" t="s">
        <v>295</v>
      </c>
      <c r="H15" s="332">
        <v>0.5</v>
      </c>
      <c r="I15" s="340">
        <f>IF(H15="",D15*F15,D15*F15*H15)</f>
        <v>0.65</v>
      </c>
      <c r="J15" s="382"/>
      <c r="K15" s="382"/>
      <c r="L15" s="382"/>
      <c r="M15" s="382"/>
      <c r="N15" s="382"/>
      <c r="O15" s="383"/>
    </row>
    <row r="16" spans="1:15" x14ac:dyDescent="0.3">
      <c r="A16" s="391">
        <v>20</v>
      </c>
      <c r="B16" s="391" t="s">
        <v>159</v>
      </c>
      <c r="C16" s="391" t="s">
        <v>267</v>
      </c>
      <c r="D16" s="392">
        <v>0.04</v>
      </c>
      <c r="E16" s="391" t="s">
        <v>161</v>
      </c>
      <c r="F16" s="391">
        <v>0.11</v>
      </c>
      <c r="G16" s="391" t="s">
        <v>268</v>
      </c>
      <c r="H16" s="391">
        <v>3</v>
      </c>
      <c r="I16" s="340">
        <f>IF(H16="",D16*F16,D16*F16*H16)</f>
        <v>1.32E-2</v>
      </c>
      <c r="J16" s="346"/>
      <c r="K16" s="346"/>
      <c r="L16" s="346"/>
      <c r="M16" s="346"/>
      <c r="N16" s="346"/>
      <c r="O16" s="351"/>
    </row>
    <row r="17" spans="1:15" x14ac:dyDescent="0.3">
      <c r="A17" s="393">
        <v>30</v>
      </c>
      <c r="B17" s="393" t="s">
        <v>269</v>
      </c>
      <c r="C17" s="393" t="s">
        <v>270</v>
      </c>
      <c r="D17" s="394">
        <v>0.35</v>
      </c>
      <c r="E17" s="393" t="s">
        <v>271</v>
      </c>
      <c r="F17" s="393">
        <v>1</v>
      </c>
      <c r="G17" s="393"/>
      <c r="H17" s="393"/>
      <c r="I17" s="394">
        <f>D17*F17</f>
        <v>0.35</v>
      </c>
      <c r="J17" s="346"/>
      <c r="K17" s="346"/>
      <c r="L17" s="346"/>
      <c r="M17" s="346"/>
      <c r="N17" s="346"/>
      <c r="O17" s="351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8" fitToHeight="99" orientation="landscape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223</v>
      </c>
    </row>
  </sheetData>
  <hyperlinks>
    <hyperlink ref="B1" location="SU_04006" display="SU_04006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view="pageLayout" zoomScale="70" zoomScaleNormal="90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1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7" ht="28.8" x14ac:dyDescent="0.3">
      <c r="A11" s="397">
        <v>10</v>
      </c>
      <c r="B11" s="398" t="s">
        <v>273</v>
      </c>
      <c r="C11" s="397" t="s">
        <v>274</v>
      </c>
      <c r="D11" s="399">
        <v>4.2</v>
      </c>
      <c r="E11" s="400">
        <v>12</v>
      </c>
      <c r="F11" s="397" t="s">
        <v>30</v>
      </c>
      <c r="G11" s="397"/>
      <c r="H11" s="401"/>
      <c r="I11" s="402" t="s">
        <v>275</v>
      </c>
      <c r="J11" s="403">
        <f>3.14*0.006^2</f>
        <v>1.1304E-4</v>
      </c>
      <c r="K11" s="404">
        <v>0.06</v>
      </c>
      <c r="L11" s="409">
        <v>2710</v>
      </c>
      <c r="M11" s="405">
        <v>1</v>
      </c>
      <c r="N11" s="340">
        <f>IF(J11="",D11*M11,D11*J11*K11*L11*M11)</f>
        <v>7.7197276800000006E-2</v>
      </c>
      <c r="O11" s="410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36">
        <v>10</v>
      </c>
      <c r="B15" s="333" t="s">
        <v>272</v>
      </c>
      <c r="C15" s="406"/>
      <c r="D15" s="407">
        <v>0.4</v>
      </c>
      <c r="E15" s="336" t="s">
        <v>40</v>
      </c>
      <c r="F15" s="336">
        <v>1</v>
      </c>
      <c r="G15" s="336"/>
      <c r="H15" s="336"/>
      <c r="I15" s="408">
        <f>IF(H15="",D15*F15,D15*F15*H15)</f>
        <v>0.4</v>
      </c>
      <c r="J15" s="382"/>
      <c r="K15" s="382"/>
      <c r="L15" s="382"/>
      <c r="M15" s="382"/>
      <c r="N15" s="382"/>
      <c r="O15" s="383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6" zoomScalePageLayoutView="70" workbookViewId="0">
      <selection activeCell="E32" sqref="E32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1" t="s">
        <v>322</v>
      </c>
    </row>
  </sheetData>
  <hyperlinks>
    <hyperlink ref="B1" location="SU_04007" display="SU_04006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57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1.3905750000000001</v>
      </c>
      <c r="O2" s="430"/>
    </row>
    <row r="3" spans="1:15" x14ac:dyDescent="0.3">
      <c r="A3" s="427" t="s">
        <v>3</v>
      </c>
      <c r="B3" s="157" t="str">
        <f>'SU A0400'!B3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213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289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1.3905750000000001</v>
      </c>
      <c r="O5" s="430"/>
    </row>
    <row r="6" spans="1:15" x14ac:dyDescent="0.3">
      <c r="A6" s="427" t="s">
        <v>7</v>
      </c>
      <c r="B6" s="433" t="s">
        <v>332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4.710000000000001E-2</v>
      </c>
      <c r="F11" s="439" t="s">
        <v>212</v>
      </c>
      <c r="G11" s="439"/>
      <c r="H11" s="440"/>
      <c r="I11" s="441" t="s">
        <v>333</v>
      </c>
      <c r="J11" s="442">
        <f>0.05*0.024</f>
        <v>1.2000000000000001E-3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0.10597500000000001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2.4000000000000002E-3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2.4E-2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0.12997500000000001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0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15.3</v>
      </c>
      <c r="G17" s="447"/>
      <c r="H17" s="450"/>
      <c r="I17" s="451">
        <f>IF(H17="",D17*F17,D17*F17*H17)</f>
        <v>0.153</v>
      </c>
      <c r="J17" s="305"/>
      <c r="K17" s="411"/>
      <c r="L17" s="411"/>
      <c r="M17" s="411"/>
      <c r="N17" s="411"/>
      <c r="O17" s="430"/>
    </row>
    <row r="18" spans="1:15" ht="31.2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2.4000000000000002E-3</v>
      </c>
      <c r="G20" s="447"/>
      <c r="H20" s="450"/>
      <c r="I20" s="458">
        <f>F20*D20</f>
        <v>1.2600000000000002E-2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1.2606000000000002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6" fitToHeight="99" orientation="landscape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85" zoomScalePageLayoutView="70" workbookViewId="0">
      <selection activeCell="E32" sqref="E3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1"/>
      <c r="B1" s="342"/>
      <c r="C1" s="342"/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  <c r="O1" s="343"/>
    </row>
    <row r="2" spans="1:15" x14ac:dyDescent="0.3">
      <c r="A2" s="344" t="s">
        <v>0</v>
      </c>
      <c r="B2" s="345" t="s">
        <v>37</v>
      </c>
      <c r="C2" s="346"/>
      <c r="D2" s="346"/>
      <c r="E2" s="346"/>
      <c r="F2" s="346"/>
      <c r="G2" s="347" t="s">
        <v>126</v>
      </c>
      <c r="H2" s="346"/>
      <c r="I2" s="346"/>
      <c r="J2" s="348" t="s">
        <v>1</v>
      </c>
      <c r="K2" s="349">
        <v>81</v>
      </c>
      <c r="L2" s="346"/>
      <c r="M2" s="344" t="s">
        <v>16</v>
      </c>
      <c r="N2" s="350">
        <f>N12+I16</f>
        <v>8.8765790399999975</v>
      </c>
      <c r="O2" s="351"/>
    </row>
    <row r="3" spans="1:15" x14ac:dyDescent="0.3">
      <c r="A3" s="344" t="s">
        <v>3</v>
      </c>
      <c r="B3" s="345" t="str">
        <f>'SU A0100'!B3</f>
        <v>Suspension &amp; Shocks</v>
      </c>
      <c r="C3" s="346"/>
      <c r="D3" s="344" t="s">
        <v>6</v>
      </c>
      <c r="E3" s="352" t="s">
        <v>86</v>
      </c>
      <c r="F3" s="346"/>
      <c r="G3" s="346"/>
      <c r="H3" s="346"/>
      <c r="I3" s="346"/>
      <c r="J3" s="346"/>
      <c r="K3" s="346"/>
      <c r="L3" s="346"/>
      <c r="M3" s="344" t="s">
        <v>4</v>
      </c>
      <c r="N3" s="353">
        <v>1</v>
      </c>
      <c r="O3" s="351"/>
    </row>
    <row r="4" spans="1:15" x14ac:dyDescent="0.3">
      <c r="A4" s="344" t="s">
        <v>5</v>
      </c>
      <c r="B4" s="347" t="str">
        <f>'SU A0100'!B4</f>
        <v>Upper Front A-arm</v>
      </c>
      <c r="C4" s="346"/>
      <c r="D4" s="344" t="s">
        <v>8</v>
      </c>
      <c r="E4" s="346"/>
      <c r="F4" s="346"/>
      <c r="G4" s="346"/>
      <c r="H4" s="346"/>
      <c r="I4" s="346"/>
      <c r="J4" s="354" t="s">
        <v>6</v>
      </c>
      <c r="K4" s="346"/>
      <c r="L4" s="346"/>
      <c r="M4" s="346"/>
      <c r="N4" s="346"/>
      <c r="O4" s="351"/>
    </row>
    <row r="5" spans="1:15" x14ac:dyDescent="0.3">
      <c r="A5" s="344" t="s">
        <v>15</v>
      </c>
      <c r="B5" s="355" t="s">
        <v>154</v>
      </c>
      <c r="C5" s="346"/>
      <c r="D5" s="344" t="s">
        <v>12</v>
      </c>
      <c r="E5" s="346"/>
      <c r="F5" s="346"/>
      <c r="G5" s="346"/>
      <c r="H5" s="346"/>
      <c r="I5" s="346"/>
      <c r="J5" s="354" t="s">
        <v>8</v>
      </c>
      <c r="K5" s="346"/>
      <c r="L5" s="346"/>
      <c r="M5" s="344" t="s">
        <v>9</v>
      </c>
      <c r="N5" s="350">
        <f>N3*N2</f>
        <v>8.8765790399999975</v>
      </c>
      <c r="O5" s="351"/>
    </row>
    <row r="6" spans="1:15" x14ac:dyDescent="0.3">
      <c r="A6" s="344" t="s">
        <v>7</v>
      </c>
      <c r="B6" s="356" t="s">
        <v>175</v>
      </c>
      <c r="C6" s="346"/>
      <c r="D6" s="346"/>
      <c r="E6" s="346"/>
      <c r="F6" s="346"/>
      <c r="G6" s="346"/>
      <c r="H6" s="346"/>
      <c r="I6" s="346"/>
      <c r="J6" s="354" t="s">
        <v>12</v>
      </c>
      <c r="K6" s="346"/>
      <c r="L6" s="346"/>
      <c r="M6" s="346"/>
      <c r="N6" s="346"/>
      <c r="O6" s="351"/>
    </row>
    <row r="7" spans="1:15" x14ac:dyDescent="0.3">
      <c r="A7" s="344" t="s">
        <v>10</v>
      </c>
      <c r="B7" s="345" t="s">
        <v>11</v>
      </c>
      <c r="C7" s="346"/>
      <c r="D7" s="346"/>
      <c r="E7" s="346"/>
      <c r="F7" s="346"/>
      <c r="G7" s="346"/>
      <c r="H7" s="346"/>
      <c r="I7" s="346"/>
      <c r="J7" s="346"/>
      <c r="K7" s="346"/>
      <c r="L7" s="346"/>
      <c r="M7" s="346"/>
      <c r="N7" s="346"/>
      <c r="O7" s="351"/>
    </row>
    <row r="8" spans="1:15" x14ac:dyDescent="0.3">
      <c r="A8" s="344" t="s">
        <v>13</v>
      </c>
      <c r="B8" s="345"/>
      <c r="C8" s="346"/>
      <c r="D8" s="346"/>
      <c r="E8" s="346"/>
      <c r="F8" s="346"/>
      <c r="G8" s="346"/>
      <c r="H8" s="346"/>
      <c r="I8" s="346"/>
      <c r="J8" s="346"/>
      <c r="K8" s="346"/>
      <c r="L8" s="346"/>
      <c r="M8" s="346"/>
      <c r="N8" s="346"/>
      <c r="O8" s="351"/>
    </row>
    <row r="9" spans="1:15" x14ac:dyDescent="0.3">
      <c r="A9" s="357"/>
      <c r="B9" s="358"/>
      <c r="C9" s="358"/>
      <c r="D9" s="358"/>
      <c r="E9" s="358"/>
      <c r="F9" s="346"/>
      <c r="G9" s="346"/>
      <c r="H9" s="346"/>
      <c r="I9" s="346"/>
      <c r="J9" s="346"/>
      <c r="K9" s="346"/>
      <c r="L9" s="346"/>
      <c r="M9" s="346"/>
      <c r="N9" s="346"/>
      <c r="O9" s="351"/>
    </row>
    <row r="10" spans="1:15" x14ac:dyDescent="0.3">
      <c r="A10" s="359" t="s">
        <v>14</v>
      </c>
      <c r="B10" s="360" t="s">
        <v>19</v>
      </c>
      <c r="C10" s="360" t="s">
        <v>20</v>
      </c>
      <c r="D10" s="360" t="s">
        <v>21</v>
      </c>
      <c r="E10" s="360" t="s">
        <v>22</v>
      </c>
      <c r="F10" s="361" t="s">
        <v>23</v>
      </c>
      <c r="G10" s="361" t="s">
        <v>24</v>
      </c>
      <c r="H10" s="361" t="s">
        <v>25</v>
      </c>
      <c r="I10" s="361" t="s">
        <v>26</v>
      </c>
      <c r="J10" s="361" t="s">
        <v>27</v>
      </c>
      <c r="K10" s="361" t="s">
        <v>28</v>
      </c>
      <c r="L10" s="361" t="s">
        <v>29</v>
      </c>
      <c r="M10" s="361" t="s">
        <v>17</v>
      </c>
      <c r="N10" s="361" t="s">
        <v>18</v>
      </c>
      <c r="O10" s="351"/>
    </row>
    <row r="11" spans="1:15" x14ac:dyDescent="0.3">
      <c r="A11" s="362">
        <v>10</v>
      </c>
      <c r="B11" s="363" t="s">
        <v>188</v>
      </c>
      <c r="C11" s="364" t="s">
        <v>189</v>
      </c>
      <c r="D11" s="149">
        <f>200*E11*L11</f>
        <v>7.8902924799999985</v>
      </c>
      <c r="E11" s="365">
        <f>J11*K11</f>
        <v>2.4969279999999993E-5</v>
      </c>
      <c r="F11" s="366" t="s">
        <v>190</v>
      </c>
      <c r="G11" s="366"/>
      <c r="H11" s="367"/>
      <c r="I11" s="368" t="s">
        <v>164</v>
      </c>
      <c r="J11" s="369">
        <f>3.14*(0.008*0.008-0.006*0.006)</f>
        <v>8.7919999999999985E-5</v>
      </c>
      <c r="K11" s="370">
        <v>0.28399999999999997</v>
      </c>
      <c r="L11" s="371">
        <v>1580</v>
      </c>
      <c r="M11" s="372">
        <v>1</v>
      </c>
      <c r="N11" s="373">
        <f>D11*M11</f>
        <v>7.8902924799999985</v>
      </c>
      <c r="O11" s="374"/>
    </row>
    <row r="12" spans="1:15" x14ac:dyDescent="0.3">
      <c r="A12" s="375"/>
      <c r="B12" s="376"/>
      <c r="C12" s="376"/>
      <c r="D12" s="376"/>
      <c r="E12" s="376"/>
      <c r="F12" s="376"/>
      <c r="G12" s="376"/>
      <c r="H12" s="376"/>
      <c r="I12" s="376"/>
      <c r="J12" s="376"/>
      <c r="K12" s="376"/>
      <c r="L12" s="376"/>
      <c r="M12" s="377" t="s">
        <v>18</v>
      </c>
      <c r="N12" s="378">
        <f>SUM(N11:N11)</f>
        <v>7.8902924799999985</v>
      </c>
      <c r="O12" s="351"/>
    </row>
    <row r="13" spans="1:15" x14ac:dyDescent="0.3">
      <c r="A13" s="379"/>
      <c r="B13" s="346"/>
      <c r="C13" s="346"/>
      <c r="D13" s="346"/>
      <c r="E13" s="346"/>
      <c r="F13" s="346"/>
      <c r="G13" s="346"/>
      <c r="H13" s="346"/>
      <c r="I13" s="346"/>
      <c r="J13" s="346"/>
      <c r="K13" s="346"/>
      <c r="L13" s="346"/>
      <c r="M13" s="346"/>
      <c r="N13" s="346"/>
      <c r="O13" s="351"/>
    </row>
    <row r="14" spans="1:15" x14ac:dyDescent="0.3">
      <c r="A14" s="380" t="s">
        <v>14</v>
      </c>
      <c r="B14" s="361" t="s">
        <v>31</v>
      </c>
      <c r="C14" s="361" t="s">
        <v>20</v>
      </c>
      <c r="D14" s="361" t="s">
        <v>21</v>
      </c>
      <c r="E14" s="361" t="s">
        <v>32</v>
      </c>
      <c r="F14" s="361" t="s">
        <v>17</v>
      </c>
      <c r="G14" s="361" t="s">
        <v>33</v>
      </c>
      <c r="H14" s="361" t="s">
        <v>34</v>
      </c>
      <c r="I14" s="361" t="s">
        <v>18</v>
      </c>
      <c r="J14" s="376"/>
      <c r="K14" s="376"/>
      <c r="L14" s="376"/>
      <c r="M14" s="376"/>
      <c r="N14" s="376"/>
      <c r="O14" s="351"/>
    </row>
    <row r="15" spans="1:15" ht="28.8" x14ac:dyDescent="0.3">
      <c r="A15" s="363">
        <v>10</v>
      </c>
      <c r="B15" s="363" t="s">
        <v>210</v>
      </c>
      <c r="C15" s="363" t="s">
        <v>211</v>
      </c>
      <c r="D15" s="338">
        <v>25</v>
      </c>
      <c r="E15" s="333" t="s">
        <v>212</v>
      </c>
      <c r="F15" s="381">
        <f>J11*K11*L11</f>
        <v>3.9451462399999991E-2</v>
      </c>
      <c r="G15" s="237"/>
      <c r="H15" s="237"/>
      <c r="I15" s="340">
        <f>IF(H15="",D15*F15,D15*F15*H15)</f>
        <v>0.98628655999999981</v>
      </c>
      <c r="J15" s="382"/>
      <c r="K15" s="382"/>
      <c r="L15" s="382"/>
      <c r="M15" s="382"/>
      <c r="N15" s="382"/>
      <c r="O15" s="383"/>
    </row>
    <row r="16" spans="1:15" x14ac:dyDescent="0.3">
      <c r="A16" s="375"/>
      <c r="B16" s="376"/>
      <c r="C16" s="376"/>
      <c r="D16" s="376"/>
      <c r="E16" s="376"/>
      <c r="F16" s="376"/>
      <c r="G16" s="376"/>
      <c r="H16" s="384" t="s">
        <v>18</v>
      </c>
      <c r="I16" s="378">
        <f>SUM(I15:I15)</f>
        <v>0.98628655999999981</v>
      </c>
      <c r="J16" s="376"/>
      <c r="K16" s="376"/>
      <c r="L16" s="376"/>
      <c r="M16" s="376"/>
      <c r="N16" s="376"/>
      <c r="O16" s="351"/>
    </row>
    <row r="17" spans="1:15" ht="15" thickBot="1" x14ac:dyDescent="0.35">
      <c r="A17" s="385"/>
      <c r="B17" s="386"/>
      <c r="C17" s="386"/>
      <c r="D17" s="386"/>
      <c r="E17" s="386"/>
      <c r="F17" s="386"/>
      <c r="G17" s="386"/>
      <c r="H17" s="386"/>
      <c r="I17" s="386"/>
      <c r="J17" s="386"/>
      <c r="K17" s="386"/>
      <c r="L17" s="386"/>
      <c r="M17" s="386"/>
      <c r="N17" s="386"/>
      <c r="O17" s="387"/>
    </row>
  </sheetData>
  <hyperlinks>
    <hyperlink ref="B4" location="'SU A0100'!A1" display="'SU A0100'!A1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63" fitToHeight="99" orientation="landscape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1" t="s">
        <v>323</v>
      </c>
    </row>
  </sheetData>
  <hyperlinks>
    <hyperlink ref="B1" location="SU_04008" display="SU_04008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57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1.3814265000000003</v>
      </c>
      <c r="O2" s="430"/>
    </row>
    <row r="3" spans="1:15" x14ac:dyDescent="0.3">
      <c r="A3" s="427" t="s">
        <v>3</v>
      </c>
      <c r="B3" s="157" t="str">
        <f>'SU A0400'!B3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213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290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1.3814265000000003</v>
      </c>
      <c r="O5" s="430"/>
    </row>
    <row r="6" spans="1:15" x14ac:dyDescent="0.3">
      <c r="A6" s="427" t="s">
        <v>7</v>
      </c>
      <c r="B6" s="433" t="s">
        <v>334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customHeight="1" x14ac:dyDescent="0.3">
      <c r="A11" s="434">
        <v>10</v>
      </c>
      <c r="B11" s="435" t="s">
        <v>278</v>
      </c>
      <c r="C11" s="436" t="s">
        <v>279</v>
      </c>
      <c r="D11" s="437">
        <v>2.25</v>
      </c>
      <c r="E11" s="438">
        <f>J11*K11*L11</f>
        <v>4.8042000000000008E-2</v>
      </c>
      <c r="F11" s="439" t="s">
        <v>212</v>
      </c>
      <c r="G11" s="439"/>
      <c r="H11" s="440"/>
      <c r="I11" s="441" t="s">
        <v>335</v>
      </c>
      <c r="J11" s="442">
        <f>0.051*0.024</f>
        <v>1.224E-3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0.1080945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2.4480000000000001E-3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2.4480000000000002E-2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0.13257449999999998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30" customHeight="1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14.1</v>
      </c>
      <c r="G17" s="447"/>
      <c r="H17" s="450"/>
      <c r="I17" s="451">
        <f>IF(H17="",D17*F17,D17*F17*H17)</f>
        <v>0.14099999999999999</v>
      </c>
      <c r="J17" s="305"/>
      <c r="K17" s="411"/>
      <c r="L17" s="411"/>
      <c r="M17" s="411"/>
      <c r="N17" s="411"/>
      <c r="O17" s="430"/>
    </row>
    <row r="18" spans="1:15" ht="31.2" customHeight="1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1</v>
      </c>
      <c r="G19" s="456" t="s">
        <v>268</v>
      </c>
      <c r="H19" s="456">
        <v>3</v>
      </c>
      <c r="I19" s="458">
        <f t="shared" si="0"/>
        <v>0.12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2.4480000000000001E-3</v>
      </c>
      <c r="G20" s="447"/>
      <c r="H20" s="450"/>
      <c r="I20" s="458">
        <f>F20*D20</f>
        <v>1.2852000000000001E-2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1.2488520000000003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7" fitToHeight="99" orientation="landscape"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338</v>
      </c>
    </row>
  </sheetData>
  <hyperlinks>
    <hyperlink ref="B1" location="SU_04009" display="SU_04009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57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1.8130709999999999</v>
      </c>
      <c r="O2" s="430"/>
    </row>
    <row r="3" spans="1:15" x14ac:dyDescent="0.3">
      <c r="A3" s="427" t="s">
        <v>3</v>
      </c>
      <c r="B3" s="157" t="str">
        <f>'SU A0400'!B3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213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291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1.8130709999999999</v>
      </c>
      <c r="O5" s="430"/>
    </row>
    <row r="6" spans="1:15" x14ac:dyDescent="0.3">
      <c r="A6" s="427" t="s">
        <v>7</v>
      </c>
      <c r="B6" s="433" t="s">
        <v>340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x14ac:dyDescent="0.3">
      <c r="A11" s="639">
        <v>10</v>
      </c>
      <c r="B11" s="435" t="s">
        <v>278</v>
      </c>
      <c r="C11" s="436" t="s">
        <v>279</v>
      </c>
      <c r="D11" s="437">
        <v>2.25</v>
      </c>
      <c r="E11" s="438">
        <f>J11*K11*L11</f>
        <v>0.107388</v>
      </c>
      <c r="F11" s="439" t="s">
        <v>212</v>
      </c>
      <c r="G11" s="439"/>
      <c r="H11" s="440"/>
      <c r="I11" s="441" t="s">
        <v>336</v>
      </c>
      <c r="J11" s="442">
        <f>0.038*0.072</f>
        <v>2.7359999999999997E-3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0.24162299999999995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5.4719999999999994E-3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5.4719999999999991E-2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0.29634299999999991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28.8" x14ac:dyDescent="0.3">
      <c r="A16" s="446">
        <v>10</v>
      </c>
      <c r="B16" s="447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27.3</v>
      </c>
      <c r="G17" s="447"/>
      <c r="H17" s="450"/>
      <c r="I17" s="451">
        <f>IF(H17="",D17*F17,D17*F17*H17)</f>
        <v>0.27300000000000002</v>
      </c>
      <c r="J17" s="305"/>
      <c r="K17" s="411"/>
      <c r="L17" s="411"/>
      <c r="M17" s="411"/>
      <c r="N17" s="411"/>
      <c r="O17" s="430"/>
    </row>
    <row r="18" spans="1:15" ht="28.8" x14ac:dyDescent="0.3">
      <c r="A18" s="446">
        <v>30</v>
      </c>
      <c r="B18" s="455" t="s">
        <v>39</v>
      </c>
      <c r="C18" s="456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2</v>
      </c>
      <c r="G19" s="456" t="s">
        <v>268</v>
      </c>
      <c r="H19" s="456">
        <v>3</v>
      </c>
      <c r="I19" s="458">
        <f t="shared" si="0"/>
        <v>0.24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302" t="s">
        <v>284</v>
      </c>
      <c r="D20" s="309">
        <v>5.25</v>
      </c>
      <c r="E20" s="447" t="s">
        <v>276</v>
      </c>
      <c r="F20" s="459">
        <f>2*J11</f>
        <v>5.4719999999999994E-3</v>
      </c>
      <c r="G20" s="447"/>
      <c r="H20" s="450"/>
      <c r="I20" s="458">
        <f>F20*D20</f>
        <v>2.8727999999999997E-2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1.5167280000000001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6" fitToHeight="99" orientation="landscape"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341</v>
      </c>
    </row>
  </sheetData>
  <hyperlinks>
    <hyperlink ref="B1" location="SU_04010" display="SU_04010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24"/>
      <c r="B1" s="425"/>
      <c r="C1" s="425"/>
      <c r="D1" s="425"/>
      <c r="E1" s="425"/>
      <c r="F1" s="425"/>
      <c r="G1" s="425"/>
      <c r="H1" s="425"/>
      <c r="I1" s="425"/>
      <c r="J1" s="425"/>
      <c r="K1" s="425"/>
      <c r="L1" s="425"/>
      <c r="M1" s="425"/>
      <c r="N1" s="425"/>
      <c r="O1" s="426"/>
    </row>
    <row r="2" spans="1:15" x14ac:dyDescent="0.3">
      <c r="A2" s="427" t="s">
        <v>0</v>
      </c>
      <c r="B2" s="157" t="s">
        <v>37</v>
      </c>
      <c r="C2" s="411"/>
      <c r="D2" s="411"/>
      <c r="E2" s="411"/>
      <c r="F2" s="88" t="s">
        <v>126</v>
      </c>
      <c r="G2" s="411"/>
      <c r="H2" s="411"/>
      <c r="I2" s="411"/>
      <c r="J2" s="429" t="s">
        <v>1</v>
      </c>
      <c r="K2" s="412">
        <v>81</v>
      </c>
      <c r="L2" s="411"/>
      <c r="M2" s="413" t="s">
        <v>16</v>
      </c>
      <c r="N2" s="414">
        <f>N13+I21</f>
        <v>1.9015070000000001</v>
      </c>
      <c r="O2" s="430"/>
    </row>
    <row r="3" spans="1:15" x14ac:dyDescent="0.3">
      <c r="A3" s="427" t="s">
        <v>3</v>
      </c>
      <c r="B3" s="157" t="str">
        <f>'SU A0400'!B3</f>
        <v>Suspension &amp; Shocks</v>
      </c>
      <c r="C3" s="412"/>
      <c r="D3" s="344" t="s">
        <v>6</v>
      </c>
      <c r="E3" s="281" t="s">
        <v>86</v>
      </c>
      <c r="F3" s="411"/>
      <c r="G3" s="411"/>
      <c r="H3" s="411"/>
      <c r="I3" s="411"/>
      <c r="J3" s="411"/>
      <c r="K3" s="411"/>
      <c r="L3" s="411"/>
      <c r="M3" s="413" t="s">
        <v>4</v>
      </c>
      <c r="N3" s="415">
        <v>1</v>
      </c>
      <c r="O3" s="430"/>
    </row>
    <row r="4" spans="1:15" x14ac:dyDescent="0.3">
      <c r="A4" s="427" t="s">
        <v>5</v>
      </c>
      <c r="B4" s="88" t="s">
        <v>213</v>
      </c>
      <c r="C4" s="411"/>
      <c r="D4" s="344" t="s">
        <v>8</v>
      </c>
      <c r="E4" s="346"/>
      <c r="F4" s="411"/>
      <c r="G4" s="411"/>
      <c r="H4" s="411"/>
      <c r="I4" s="411"/>
      <c r="J4" s="429" t="s">
        <v>6</v>
      </c>
      <c r="K4" s="411"/>
      <c r="L4" s="411"/>
      <c r="M4" s="411"/>
      <c r="N4" s="411"/>
      <c r="O4" s="430"/>
    </row>
    <row r="5" spans="1:15" x14ac:dyDescent="0.3">
      <c r="A5" s="427" t="s">
        <v>15</v>
      </c>
      <c r="B5" s="432" t="s">
        <v>292</v>
      </c>
      <c r="C5" s="411"/>
      <c r="D5" s="344" t="s">
        <v>12</v>
      </c>
      <c r="E5" s="346"/>
      <c r="F5" s="411"/>
      <c r="G5" s="411"/>
      <c r="H5" s="411"/>
      <c r="I5" s="411"/>
      <c r="J5" s="429" t="s">
        <v>8</v>
      </c>
      <c r="K5" s="411"/>
      <c r="L5" s="411"/>
      <c r="M5" s="413" t="s">
        <v>9</v>
      </c>
      <c r="N5" s="414">
        <f>N3*N2</f>
        <v>1.9015070000000001</v>
      </c>
      <c r="O5" s="430"/>
    </row>
    <row r="6" spans="1:15" x14ac:dyDescent="0.3">
      <c r="A6" s="427" t="s">
        <v>7</v>
      </c>
      <c r="B6" s="433" t="s">
        <v>339</v>
      </c>
      <c r="C6" s="411"/>
      <c r="D6" s="411"/>
      <c r="E6" s="411"/>
      <c r="F6" s="411"/>
      <c r="G6" s="411"/>
      <c r="H6" s="411"/>
      <c r="I6" s="411"/>
      <c r="J6" s="429" t="s">
        <v>12</v>
      </c>
      <c r="K6" s="411"/>
      <c r="L6" s="411"/>
      <c r="M6" s="411"/>
      <c r="N6" s="411"/>
      <c r="O6" s="430"/>
    </row>
    <row r="7" spans="1:15" x14ac:dyDescent="0.3">
      <c r="A7" s="427" t="s">
        <v>10</v>
      </c>
      <c r="B7" s="428" t="s">
        <v>11</v>
      </c>
      <c r="C7" s="411"/>
      <c r="D7" s="411"/>
      <c r="E7" s="411"/>
      <c r="F7" s="411"/>
      <c r="G7" s="411"/>
      <c r="H7" s="411"/>
      <c r="I7" s="411"/>
      <c r="J7" s="411"/>
      <c r="K7" s="411"/>
      <c r="L7" s="411"/>
      <c r="M7" s="411"/>
      <c r="N7" s="411"/>
      <c r="O7" s="430"/>
    </row>
    <row r="8" spans="1:15" x14ac:dyDescent="0.3">
      <c r="A8" s="427" t="s">
        <v>13</v>
      </c>
      <c r="B8" s="411" t="s">
        <v>277</v>
      </c>
      <c r="C8" s="411"/>
      <c r="D8" s="411"/>
      <c r="E8" s="411"/>
      <c r="F8" s="411"/>
      <c r="G8" s="411"/>
      <c r="H8" s="411"/>
      <c r="I8" s="411"/>
      <c r="J8" s="411"/>
      <c r="K8" s="411"/>
      <c r="L8" s="411"/>
      <c r="M8" s="411"/>
      <c r="N8" s="411"/>
      <c r="O8" s="430"/>
    </row>
    <row r="9" spans="1:15" x14ac:dyDescent="0.3">
      <c r="A9" s="416"/>
      <c r="B9" s="411"/>
      <c r="C9" s="411"/>
      <c r="D9" s="411"/>
      <c r="E9" s="411"/>
      <c r="F9" s="411"/>
      <c r="G9" s="411"/>
      <c r="H9" s="411"/>
      <c r="I9" s="411"/>
      <c r="J9" s="411"/>
      <c r="K9" s="411"/>
      <c r="L9" s="411"/>
      <c r="M9" s="411"/>
      <c r="N9" s="411"/>
      <c r="O9" s="430"/>
    </row>
    <row r="10" spans="1:15" x14ac:dyDescent="0.3">
      <c r="A10" s="417" t="s">
        <v>14</v>
      </c>
      <c r="B10" s="418" t="s">
        <v>19</v>
      </c>
      <c r="C10" s="418" t="s">
        <v>20</v>
      </c>
      <c r="D10" s="418" t="s">
        <v>21</v>
      </c>
      <c r="E10" s="418" t="s">
        <v>22</v>
      </c>
      <c r="F10" s="418" t="s">
        <v>23</v>
      </c>
      <c r="G10" s="418" t="s">
        <v>24</v>
      </c>
      <c r="H10" s="418" t="s">
        <v>25</v>
      </c>
      <c r="I10" s="418" t="s">
        <v>26</v>
      </c>
      <c r="J10" s="418" t="s">
        <v>27</v>
      </c>
      <c r="K10" s="418" t="s">
        <v>28</v>
      </c>
      <c r="L10" s="418" t="s">
        <v>29</v>
      </c>
      <c r="M10" s="418" t="s">
        <v>17</v>
      </c>
      <c r="N10" s="418" t="s">
        <v>18</v>
      </c>
      <c r="O10" s="430"/>
    </row>
    <row r="11" spans="1:15" ht="28.8" x14ac:dyDescent="0.3">
      <c r="A11" s="639">
        <v>10</v>
      </c>
      <c r="B11" s="641" t="s">
        <v>278</v>
      </c>
      <c r="C11" s="436" t="s">
        <v>279</v>
      </c>
      <c r="D11" s="437">
        <v>2.25</v>
      </c>
      <c r="E11" s="438">
        <f>J11*K11*L11</f>
        <v>0.129996</v>
      </c>
      <c r="F11" s="439" t="s">
        <v>212</v>
      </c>
      <c r="G11" s="439"/>
      <c r="H11" s="440"/>
      <c r="I11" s="441" t="s">
        <v>337</v>
      </c>
      <c r="J11" s="442">
        <f>0.046*0.072</f>
        <v>3.3119999999999998E-3</v>
      </c>
      <c r="K11" s="442">
        <v>5.0000000000000001E-3</v>
      </c>
      <c r="L11" s="443">
        <v>7850</v>
      </c>
      <c r="M11" s="443">
        <v>1</v>
      </c>
      <c r="N11" s="444">
        <f>IF(J11="",D11*M11,D11*J11*K11*L11*M11)</f>
        <v>0.292491</v>
      </c>
      <c r="O11" s="430"/>
    </row>
    <row r="12" spans="1:15" x14ac:dyDescent="0.3">
      <c r="A12" s="434">
        <v>20</v>
      </c>
      <c r="B12" s="435" t="s">
        <v>281</v>
      </c>
      <c r="C12" s="436"/>
      <c r="D12" s="419">
        <v>10</v>
      </c>
      <c r="E12" s="420">
        <f>2*J11</f>
        <v>6.6239999999999997E-3</v>
      </c>
      <c r="F12" s="445" t="s">
        <v>276</v>
      </c>
      <c r="G12" s="439"/>
      <c r="H12" s="440"/>
      <c r="I12" s="441"/>
      <c r="J12" s="442"/>
      <c r="K12" s="440"/>
      <c r="L12" s="443"/>
      <c r="M12" s="443"/>
      <c r="N12" s="444">
        <f>E12*D12</f>
        <v>6.6239999999999993E-2</v>
      </c>
      <c r="O12" s="430"/>
    </row>
    <row r="13" spans="1:15" x14ac:dyDescent="0.3">
      <c r="A13" s="421"/>
      <c r="B13" s="422"/>
      <c r="C13" s="422"/>
      <c r="D13" s="422"/>
      <c r="E13" s="422"/>
      <c r="F13" s="422"/>
      <c r="G13" s="422"/>
      <c r="H13" s="422"/>
      <c r="I13" s="422"/>
      <c r="J13" s="422"/>
      <c r="K13" s="422"/>
      <c r="L13" s="422"/>
      <c r="M13" s="423" t="s">
        <v>18</v>
      </c>
      <c r="N13" s="294">
        <f>SUM(N11:N12)</f>
        <v>0.35873100000000002</v>
      </c>
      <c r="O13" s="430"/>
    </row>
    <row r="14" spans="1:15" x14ac:dyDescent="0.3">
      <c r="A14" s="416"/>
      <c r="B14" s="411"/>
      <c r="C14" s="411"/>
      <c r="D14" s="411"/>
      <c r="E14" s="411"/>
      <c r="F14" s="411"/>
      <c r="G14" s="411"/>
      <c r="H14" s="411"/>
      <c r="I14" s="411"/>
      <c r="J14" s="411"/>
      <c r="K14" s="411"/>
      <c r="L14" s="411"/>
      <c r="M14" s="411"/>
      <c r="N14" s="411"/>
      <c r="O14" s="430"/>
    </row>
    <row r="15" spans="1:15" x14ac:dyDescent="0.3">
      <c r="A15" s="417" t="s">
        <v>14</v>
      </c>
      <c r="B15" s="418" t="s">
        <v>31</v>
      </c>
      <c r="C15" s="418" t="s">
        <v>20</v>
      </c>
      <c r="D15" s="418" t="s">
        <v>21</v>
      </c>
      <c r="E15" s="418" t="s">
        <v>32</v>
      </c>
      <c r="F15" s="418" t="s">
        <v>17</v>
      </c>
      <c r="G15" s="418" t="s">
        <v>33</v>
      </c>
      <c r="H15" s="418" t="s">
        <v>34</v>
      </c>
      <c r="I15" s="418" t="s">
        <v>18</v>
      </c>
      <c r="J15" s="422"/>
      <c r="K15" s="422"/>
      <c r="L15" s="422"/>
      <c r="M15" s="422"/>
      <c r="N15" s="422"/>
      <c r="O15" s="430"/>
    </row>
    <row r="16" spans="1:15" ht="28.8" x14ac:dyDescent="0.3">
      <c r="A16" s="446">
        <v>10</v>
      </c>
      <c r="B16" s="640" t="s">
        <v>39</v>
      </c>
      <c r="C16" s="448" t="s">
        <v>282</v>
      </c>
      <c r="D16" s="449">
        <v>1.3</v>
      </c>
      <c r="E16" s="447" t="s">
        <v>32</v>
      </c>
      <c r="F16" s="305">
        <v>1</v>
      </c>
      <c r="G16" s="448" t="s">
        <v>294</v>
      </c>
      <c r="H16" s="450">
        <v>0.5</v>
      </c>
      <c r="I16" s="451">
        <f>H16*D16</f>
        <v>0.65</v>
      </c>
      <c r="J16" s="305"/>
      <c r="K16" s="411"/>
      <c r="L16" s="411"/>
      <c r="M16" s="411"/>
      <c r="N16" s="411"/>
      <c r="O16" s="430"/>
    </row>
    <row r="17" spans="1:15" x14ac:dyDescent="0.3">
      <c r="A17" s="452">
        <v>20</v>
      </c>
      <c r="B17" s="453" t="s">
        <v>283</v>
      </c>
      <c r="C17" s="302"/>
      <c r="D17" s="449">
        <v>0.01</v>
      </c>
      <c r="E17" s="453" t="s">
        <v>40</v>
      </c>
      <c r="F17" s="454">
        <v>29.3</v>
      </c>
      <c r="G17" s="447"/>
      <c r="H17" s="450"/>
      <c r="I17" s="451">
        <f>IF(H17="",D17*F17,D17*F17*H17)</f>
        <v>0.29300000000000004</v>
      </c>
      <c r="J17" s="305"/>
      <c r="K17" s="411"/>
      <c r="L17" s="411"/>
      <c r="M17" s="411"/>
      <c r="N17" s="411"/>
      <c r="O17" s="430"/>
    </row>
    <row r="18" spans="1:15" ht="28.8" x14ac:dyDescent="0.3">
      <c r="A18" s="446">
        <v>30</v>
      </c>
      <c r="B18" s="455" t="s">
        <v>39</v>
      </c>
      <c r="C18" s="642"/>
      <c r="D18" s="457">
        <v>0.65</v>
      </c>
      <c r="E18" s="456" t="s">
        <v>32</v>
      </c>
      <c r="F18" s="456">
        <v>1</v>
      </c>
      <c r="G18" s="448" t="s">
        <v>294</v>
      </c>
      <c r="H18" s="456">
        <v>0.5</v>
      </c>
      <c r="I18" s="458">
        <f t="shared" ref="I18:I19" si="0">IF(H18="",D18*F18,D18*F18*H18)</f>
        <v>0.32500000000000001</v>
      </c>
      <c r="J18" s="305"/>
      <c r="K18" s="411"/>
      <c r="L18" s="411"/>
      <c r="M18" s="411"/>
      <c r="N18" s="411"/>
      <c r="O18" s="430"/>
    </row>
    <row r="19" spans="1:15" x14ac:dyDescent="0.3">
      <c r="A19" s="452">
        <v>40</v>
      </c>
      <c r="B19" s="456" t="s">
        <v>159</v>
      </c>
      <c r="C19" s="456" t="s">
        <v>293</v>
      </c>
      <c r="D19" s="457">
        <v>0.04</v>
      </c>
      <c r="E19" s="456" t="s">
        <v>161</v>
      </c>
      <c r="F19" s="456">
        <v>2</v>
      </c>
      <c r="G19" s="456" t="s">
        <v>268</v>
      </c>
      <c r="H19" s="456">
        <v>3</v>
      </c>
      <c r="I19" s="458">
        <f t="shared" si="0"/>
        <v>0.24</v>
      </c>
      <c r="J19" s="308"/>
      <c r="K19" s="422"/>
      <c r="L19" s="422"/>
      <c r="M19" s="422"/>
      <c r="N19" s="422"/>
      <c r="O19" s="430"/>
    </row>
    <row r="20" spans="1:15" x14ac:dyDescent="0.3">
      <c r="A20" s="446">
        <v>50</v>
      </c>
      <c r="B20" s="447" t="s">
        <v>233</v>
      </c>
      <c r="C20" s="569" t="s">
        <v>284</v>
      </c>
      <c r="D20" s="309">
        <v>5.25</v>
      </c>
      <c r="E20" s="447" t="s">
        <v>276</v>
      </c>
      <c r="F20" s="459">
        <f>2*J11</f>
        <v>6.6239999999999997E-3</v>
      </c>
      <c r="G20" s="447"/>
      <c r="H20" s="450"/>
      <c r="I20" s="458">
        <f>F20*D20</f>
        <v>3.4776000000000001E-2</v>
      </c>
      <c r="J20" s="460"/>
      <c r="K20" s="461"/>
      <c r="L20" s="461"/>
      <c r="M20" s="461"/>
      <c r="N20" s="461"/>
      <c r="O20" s="430"/>
    </row>
    <row r="21" spans="1:15" x14ac:dyDescent="0.3">
      <c r="A21" s="421"/>
      <c r="B21" s="422"/>
      <c r="C21" s="422"/>
      <c r="D21" s="422"/>
      <c r="E21" s="422"/>
      <c r="F21" s="422"/>
      <c r="G21" s="422"/>
      <c r="H21" s="423" t="s">
        <v>18</v>
      </c>
      <c r="I21" s="296">
        <f>SUM(I16:I20)</f>
        <v>1.5427759999999999</v>
      </c>
      <c r="J21" s="461"/>
      <c r="K21" s="461"/>
      <c r="L21" s="461"/>
      <c r="M21" s="461"/>
      <c r="N21" s="461"/>
      <c r="O21" s="430"/>
    </row>
    <row r="22" spans="1:15" ht="15" thickBot="1" x14ac:dyDescent="0.35">
      <c r="A22" s="462"/>
      <c r="B22" s="463"/>
      <c r="C22" s="463"/>
      <c r="D22" s="463"/>
      <c r="E22" s="463"/>
      <c r="F22" s="463"/>
      <c r="G22" s="463"/>
      <c r="H22" s="463"/>
      <c r="I22" s="463"/>
      <c r="J22" s="463"/>
      <c r="K22" s="463"/>
      <c r="L22" s="463"/>
      <c r="M22" s="463"/>
      <c r="N22" s="463"/>
      <c r="O22" s="464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0866141732283472" right="0.70866141732283472" top="0.74803149606299213" bottom="0.74803149606299213" header="0.31496062992125984" footer="0.31496062992125984"/>
  <pageSetup paperSize="9" scale="66" fitToHeight="99" orientation="landscape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sheetData>
    <row r="1" spans="1:2" x14ac:dyDescent="0.3">
      <c r="A1" t="s">
        <v>304</v>
      </c>
      <c r="B1" s="281" t="s">
        <v>342</v>
      </c>
    </row>
  </sheetData>
  <hyperlinks>
    <hyperlink ref="B1" location="SU_04011" display="SU_0401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338.62063016572864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677.24126033145728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3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4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76">
        <v>10</v>
      </c>
      <c r="B10" s="466" t="s">
        <v>346</v>
      </c>
      <c r="C10" s="579">
        <f>'SU 05001'!N2</f>
        <v>5.9234014172552163</v>
      </c>
      <c r="D10" s="645">
        <f>SU_05001_q</f>
        <v>1</v>
      </c>
      <c r="E10" s="579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44" t="s">
        <v>14</v>
      </c>
      <c r="B13" s="644" t="s">
        <v>19</v>
      </c>
      <c r="C13" s="644" t="s">
        <v>20</v>
      </c>
      <c r="D13" s="644" t="s">
        <v>21</v>
      </c>
      <c r="E13" s="644" t="s">
        <v>22</v>
      </c>
      <c r="F13" s="644" t="s">
        <v>23</v>
      </c>
      <c r="G13" s="644" t="s">
        <v>24</v>
      </c>
      <c r="H13" s="644" t="s">
        <v>25</v>
      </c>
      <c r="I13" s="644" t="s">
        <v>26</v>
      </c>
      <c r="J13" s="644" t="s">
        <v>27</v>
      </c>
      <c r="K13" s="644" t="s">
        <v>28</v>
      </c>
      <c r="L13" s="644" t="s">
        <v>29</v>
      </c>
      <c r="M13" s="644" t="s">
        <v>17</v>
      </c>
      <c r="N13" s="644" t="s">
        <v>18</v>
      </c>
      <c r="O13" s="62"/>
    </row>
    <row r="14" spans="1:15" x14ac:dyDescent="0.3">
      <c r="A14" s="576">
        <v>10</v>
      </c>
      <c r="B14" s="576" t="s">
        <v>347</v>
      </c>
      <c r="C14" s="576"/>
      <c r="D14" s="579">
        <v>305</v>
      </c>
      <c r="E14" s="576"/>
      <c r="F14" s="576" t="s">
        <v>35</v>
      </c>
      <c r="G14" s="576"/>
      <c r="H14" s="580"/>
      <c r="I14" s="646"/>
      <c r="J14" s="647"/>
      <c r="K14" s="580"/>
      <c r="L14" s="580"/>
      <c r="M14" s="582">
        <v>1</v>
      </c>
      <c r="N14" s="579">
        <f>D14*M14</f>
        <v>305</v>
      </c>
      <c r="O14" s="62"/>
    </row>
    <row r="15" spans="1:15" s="22" customFormat="1" x14ac:dyDescent="0.3">
      <c r="A15" s="576">
        <v>20</v>
      </c>
      <c r="B15" s="576" t="s">
        <v>348</v>
      </c>
      <c r="C15" s="648"/>
      <c r="D15" s="579">
        <v>25</v>
      </c>
      <c r="E15" s="649"/>
      <c r="F15" s="649" t="s">
        <v>35</v>
      </c>
      <c r="G15" s="649"/>
      <c r="H15" s="580"/>
      <c r="I15" s="650"/>
      <c r="J15" s="651"/>
      <c r="K15" s="652"/>
      <c r="L15" s="583"/>
      <c r="M15" s="582">
        <v>1</v>
      </c>
      <c r="N15" s="579">
        <f>D15*M15</f>
        <v>25</v>
      </c>
      <c r="O15" s="66"/>
    </row>
    <row r="16" spans="1:15" x14ac:dyDescent="0.3">
      <c r="A16" s="653">
        <v>30</v>
      </c>
      <c r="B16" s="654" t="s">
        <v>349</v>
      </c>
      <c r="C16" s="653"/>
      <c r="D16" s="579">
        <v>0</v>
      </c>
      <c r="E16" s="653"/>
      <c r="F16" s="653" t="s">
        <v>35</v>
      </c>
      <c r="G16" s="653"/>
      <c r="H16" s="653"/>
      <c r="I16" s="653"/>
      <c r="J16" s="653"/>
      <c r="K16" s="653"/>
      <c r="L16" s="653"/>
      <c r="M16" s="653">
        <v>2</v>
      </c>
      <c r="N16" s="579">
        <f>D16*M16</f>
        <v>0</v>
      </c>
    </row>
    <row r="17" spans="1:15" x14ac:dyDescent="0.3">
      <c r="A17" s="653">
        <v>40</v>
      </c>
      <c r="B17" s="654" t="s">
        <v>350</v>
      </c>
      <c r="C17" s="653" t="s">
        <v>351</v>
      </c>
      <c r="D17" s="579">
        <v>10</v>
      </c>
      <c r="E17" s="653">
        <v>4.0000000000000001E-3</v>
      </c>
      <c r="F17" s="653" t="s">
        <v>276</v>
      </c>
      <c r="G17" s="653"/>
      <c r="H17" s="653"/>
      <c r="I17" s="653"/>
      <c r="J17" s="653"/>
      <c r="K17" s="653"/>
      <c r="L17" s="653"/>
      <c r="M17" s="653">
        <v>1</v>
      </c>
      <c r="N17" s="579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55" t="s">
        <v>18</v>
      </c>
      <c r="N18" s="244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56">
        <v>10</v>
      </c>
      <c r="B21" s="657" t="s">
        <v>352</v>
      </c>
      <c r="C21" s="656" t="s">
        <v>353</v>
      </c>
      <c r="D21" s="656">
        <v>0.38</v>
      </c>
      <c r="E21" s="656" t="s">
        <v>40</v>
      </c>
      <c r="F21" s="656">
        <f>2*1.7</f>
        <v>3.4</v>
      </c>
      <c r="G21" s="656"/>
      <c r="H21" s="656"/>
      <c r="I21" s="658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59">
        <v>20</v>
      </c>
      <c r="B22" s="660" t="s">
        <v>354</v>
      </c>
      <c r="C22" s="660" t="s">
        <v>355</v>
      </c>
      <c r="D22" s="279">
        <v>5.25</v>
      </c>
      <c r="E22" s="659" t="s">
        <v>276</v>
      </c>
      <c r="F22" s="659">
        <v>4.0000000000000001E-3</v>
      </c>
      <c r="G22" s="656"/>
      <c r="H22" s="656"/>
      <c r="I22" s="658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1">
        <v>30</v>
      </c>
      <c r="B23" s="657" t="s">
        <v>356</v>
      </c>
      <c r="C23" s="661" t="s">
        <v>357</v>
      </c>
      <c r="D23" s="658">
        <v>0.06</v>
      </c>
      <c r="E23" s="661" t="s">
        <v>35</v>
      </c>
      <c r="F23" s="661">
        <v>1</v>
      </c>
      <c r="G23" s="661"/>
      <c r="H23" s="661"/>
      <c r="I23" s="658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62">
        <v>40</v>
      </c>
      <c r="B24" s="663" t="s">
        <v>358</v>
      </c>
      <c r="C24" s="662" t="s">
        <v>359</v>
      </c>
      <c r="D24" s="664">
        <v>2</v>
      </c>
      <c r="E24" s="665" t="s">
        <v>35</v>
      </c>
      <c r="F24" s="661">
        <v>1</v>
      </c>
      <c r="G24" s="662"/>
      <c r="H24" s="662"/>
      <c r="I24" s="664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66">
        <v>50</v>
      </c>
      <c r="B25" s="667" t="s">
        <v>360</v>
      </c>
      <c r="C25" s="667" t="s">
        <v>361</v>
      </c>
      <c r="D25" s="668">
        <v>0.06</v>
      </c>
      <c r="E25" s="666" t="s">
        <v>35</v>
      </c>
      <c r="F25" s="661">
        <v>1</v>
      </c>
      <c r="G25" s="666"/>
      <c r="H25" s="666"/>
      <c r="I25" s="668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66">
        <v>60</v>
      </c>
      <c r="B26" s="667" t="s">
        <v>360</v>
      </c>
      <c r="C26" s="667" t="s">
        <v>362</v>
      </c>
      <c r="D26" s="668">
        <v>0.06</v>
      </c>
      <c r="E26" s="666" t="s">
        <v>35</v>
      </c>
      <c r="F26" s="661">
        <v>1</v>
      </c>
      <c r="G26" s="666"/>
      <c r="H26" s="666"/>
      <c r="I26" s="668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66">
        <v>70</v>
      </c>
      <c r="B27" s="282" t="s">
        <v>363</v>
      </c>
      <c r="C27" s="667" t="s">
        <v>364</v>
      </c>
      <c r="D27" s="668">
        <v>0.12</v>
      </c>
      <c r="E27" s="666" t="s">
        <v>35</v>
      </c>
      <c r="F27" s="661">
        <v>1</v>
      </c>
      <c r="G27" s="666"/>
      <c r="H27" s="666"/>
      <c r="I27" s="668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66">
        <v>80</v>
      </c>
      <c r="B28" s="282" t="s">
        <v>363</v>
      </c>
      <c r="C28" s="667" t="s">
        <v>365</v>
      </c>
      <c r="D28" s="668">
        <v>0.12</v>
      </c>
      <c r="E28" s="666" t="s">
        <v>35</v>
      </c>
      <c r="F28" s="661">
        <v>1</v>
      </c>
      <c r="G28" s="666"/>
      <c r="H28" s="666"/>
      <c r="I28" s="668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66">
        <v>90</v>
      </c>
      <c r="B29" s="282" t="s">
        <v>366</v>
      </c>
      <c r="C29" s="667" t="s">
        <v>367</v>
      </c>
      <c r="D29" s="668">
        <v>0.75</v>
      </c>
      <c r="E29" s="669" t="s">
        <v>35</v>
      </c>
      <c r="F29" s="661">
        <v>1</v>
      </c>
      <c r="G29" s="666"/>
      <c r="H29" s="666"/>
      <c r="I29" s="668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66">
        <v>100</v>
      </c>
      <c r="B30" s="282" t="s">
        <v>368</v>
      </c>
      <c r="C30" s="667" t="s">
        <v>367</v>
      </c>
      <c r="D30" s="668">
        <v>0.25</v>
      </c>
      <c r="E30" s="669" t="s">
        <v>35</v>
      </c>
      <c r="F30" s="661">
        <v>1</v>
      </c>
      <c r="G30" s="666"/>
      <c r="H30" s="666"/>
      <c r="I30" s="668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0">
        <f>0.8/105154*E34^2*G34*SQRT(G34)+0.003*EXP(0.319*E34)</f>
        <v>0.13931812332052654</v>
      </c>
      <c r="E34" s="671">
        <v>8</v>
      </c>
      <c r="F34" s="671" t="s">
        <v>30</v>
      </c>
      <c r="G34" s="671">
        <v>35</v>
      </c>
      <c r="H34" s="671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0">
        <v>0.01</v>
      </c>
      <c r="E35" s="72">
        <v>8</v>
      </c>
      <c r="F35" s="672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0">
        <f>0.009*EXP(0.2*E36)</f>
        <v>4.4577291819556032E-2</v>
      </c>
      <c r="E36" s="72">
        <v>8</v>
      </c>
      <c r="F36" s="672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3" t="s">
        <v>501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74"/>
      <c r="D46" s="674"/>
      <c r="E46" s="56"/>
    </row>
    <row r="47" spans="1:15" x14ac:dyDescent="0.3">
      <c r="B47" s="56"/>
      <c r="C47" s="674"/>
      <c r="D47" s="674"/>
      <c r="E47" s="56"/>
    </row>
    <row r="48" spans="1:15" x14ac:dyDescent="0.3">
      <c r="B48" s="56"/>
      <c r="C48" s="675"/>
      <c r="D48" s="674"/>
      <c r="E48" s="56"/>
    </row>
    <row r="49" spans="2:5" x14ac:dyDescent="0.3">
      <c r="B49" s="56"/>
      <c r="C49" s="675"/>
      <c r="D49" s="674"/>
      <c r="E49" s="56"/>
    </row>
    <row r="50" spans="2:5" x14ac:dyDescent="0.3">
      <c r="B50" s="56"/>
      <c r="C50" s="675"/>
      <c r="D50" s="674"/>
      <c r="E50" s="56"/>
    </row>
    <row r="51" spans="2:5" x14ac:dyDescent="0.3">
      <c r="B51" s="56"/>
      <c r="C51" s="675"/>
      <c r="D51" s="674"/>
      <c r="E51" s="56"/>
    </row>
    <row r="52" spans="2:5" x14ac:dyDescent="0.3">
      <c r="B52" s="56"/>
      <c r="C52" s="675"/>
      <c r="D52" s="674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0866141732283472" right="0.70866141732283472" top="0.74803149606299213" bottom="0.74803149606299213" header="0.31496062992125984" footer="0.31496062992125984"/>
  <pageSetup paperSize="9" scale="67" firstPageNumber="0" fitToHeight="99" orientation="landscape" r:id="rId1"/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view="pageLayout" zoomScale="70" zoomScaleNormal="75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76" t="s">
        <v>375</v>
      </c>
      <c r="C11" s="20" t="s">
        <v>376</v>
      </c>
      <c r="D11" s="283">
        <v>2.25</v>
      </c>
      <c r="E11" s="677">
        <f>J11*K11*L11</f>
        <v>0.17182285211342935</v>
      </c>
      <c r="F11" s="20" t="s">
        <v>212</v>
      </c>
      <c r="G11" s="20"/>
      <c r="H11" s="284"/>
      <c r="I11" s="21" t="s">
        <v>377</v>
      </c>
      <c r="J11" s="678">
        <f>PI()*0.0155^2</f>
        <v>7.5476763502494771E-4</v>
      </c>
      <c r="K11" s="679">
        <v>2.9000000000000001E-2</v>
      </c>
      <c r="L11" s="680">
        <v>7850</v>
      </c>
      <c r="M11" s="23">
        <v>1</v>
      </c>
      <c r="N11" s="283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1"/>
      <c r="L14" s="24"/>
      <c r="M14" s="24"/>
      <c r="N14" s="24"/>
      <c r="O14" s="62"/>
    </row>
    <row r="15" spans="1:15" s="25" customFormat="1" ht="28.8" x14ac:dyDescent="0.3">
      <c r="A15" s="690">
        <v>10</v>
      </c>
      <c r="B15" s="693" t="s">
        <v>39</v>
      </c>
      <c r="C15" s="691" t="s">
        <v>134</v>
      </c>
      <c r="D15" s="692">
        <v>1.3</v>
      </c>
      <c r="E15" s="693" t="s">
        <v>35</v>
      </c>
      <c r="F15" s="694">
        <v>1</v>
      </c>
      <c r="G15" s="694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695">
        <v>11</v>
      </c>
      <c r="B16" s="693" t="s">
        <v>159</v>
      </c>
      <c r="C16" s="696" t="s">
        <v>378</v>
      </c>
      <c r="D16" s="697">
        <v>0.04</v>
      </c>
      <c r="E16" s="696" t="s">
        <v>161</v>
      </c>
      <c r="F16" s="698">
        <v>2.64</v>
      </c>
      <c r="G16" s="693" t="s">
        <v>379</v>
      </c>
      <c r="H16" s="26">
        <v>3</v>
      </c>
      <c r="I16" s="283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695">
        <v>20</v>
      </c>
      <c r="B17" s="693" t="s">
        <v>380</v>
      </c>
      <c r="C17" s="696"/>
      <c r="D17" s="697">
        <v>0.65</v>
      </c>
      <c r="E17" s="693"/>
      <c r="F17" s="696">
        <v>1</v>
      </c>
      <c r="G17" s="696"/>
      <c r="H17" s="26"/>
      <c r="I17" s="283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695">
        <v>21</v>
      </c>
      <c r="B18" s="693" t="s">
        <v>159</v>
      </c>
      <c r="C18" s="696" t="s">
        <v>378</v>
      </c>
      <c r="D18" s="697">
        <v>0.04</v>
      </c>
      <c r="E18" s="696" t="s">
        <v>161</v>
      </c>
      <c r="F18" s="698">
        <v>9.1999999999999993</v>
      </c>
      <c r="G18" s="693" t="s">
        <v>379</v>
      </c>
      <c r="H18" s="26">
        <v>3</v>
      </c>
      <c r="I18" s="283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695">
        <v>22</v>
      </c>
      <c r="B19" s="693" t="s">
        <v>380</v>
      </c>
      <c r="C19" s="696"/>
      <c r="D19" s="697">
        <v>0.65</v>
      </c>
      <c r="E19" s="693"/>
      <c r="F19" s="696">
        <v>1</v>
      </c>
      <c r="G19" s="696"/>
      <c r="H19" s="26"/>
      <c r="I19" s="283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695">
        <v>23</v>
      </c>
      <c r="B20" s="693" t="s">
        <v>159</v>
      </c>
      <c r="C20" s="696" t="s">
        <v>378</v>
      </c>
      <c r="D20" s="697">
        <v>0.04</v>
      </c>
      <c r="E20" s="696" t="s">
        <v>161</v>
      </c>
      <c r="F20" s="698">
        <v>6.8</v>
      </c>
      <c r="G20" s="693" t="s">
        <v>379</v>
      </c>
      <c r="H20" s="26">
        <v>3</v>
      </c>
      <c r="I20" s="283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696">
        <v>30</v>
      </c>
      <c r="B21" s="301" t="s">
        <v>381</v>
      </c>
      <c r="C21" s="696" t="s">
        <v>378</v>
      </c>
      <c r="D21" s="697">
        <v>0.35</v>
      </c>
      <c r="E21" s="696" t="s">
        <v>271</v>
      </c>
      <c r="F21" s="698">
        <v>2</v>
      </c>
      <c r="G21" s="693"/>
      <c r="H21" s="683"/>
      <c r="I21" s="684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0866141732283472" right="0.70866141732283472" top="0.74803149606299213" bottom="0.74803149606299213" header="0.31496062992125984" footer="0.31496062992125984"/>
  <pageSetup paperSize="9" scale="75" firstPageNumber="0" fitToHeight="99" orientation="landscape" r:id="rId1"/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s="281" t="s">
        <v>195</v>
      </c>
      <c r="B1" s="281" t="s">
        <v>383</v>
      </c>
    </row>
  </sheetData>
  <hyperlinks>
    <hyperlink ref="A1" location="EL_01001" display="Drawing part :"/>
    <hyperlink ref="B1" location="SU_05001" display="SU_05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view="pageLayout" zoomScale="70" zoomScaleNormal="80" zoomScalePageLayoutView="70" workbookViewId="0">
      <selection activeCell="E32" sqref="E32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0866141732283472" right="0.70866141732283472" top="0.74803149606299213" bottom="0.74803149606299213" header="0.31496062992125984" footer="0.31496062992125984"/>
  <pageSetup paperSize="9" scale="65" fitToHeight="99" orientation="landscape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714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12.856091357590071</v>
      </c>
      <c r="O2" s="270"/>
    </row>
    <row r="3" spans="1:15" x14ac:dyDescent="0.3">
      <c r="A3" s="714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0"/>
    </row>
    <row r="4" spans="1:15" x14ac:dyDescent="0.3">
      <c r="A4" s="714" t="s">
        <v>5</v>
      </c>
      <c r="B4" s="57" t="s">
        <v>389</v>
      </c>
      <c r="C4" s="715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0"/>
    </row>
    <row r="5" spans="1:15" x14ac:dyDescent="0.3">
      <c r="A5" s="714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25.712182715180141</v>
      </c>
      <c r="O5" s="270"/>
    </row>
    <row r="6" spans="1:15" x14ac:dyDescent="0.3">
      <c r="A6" s="714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0"/>
    </row>
    <row r="7" spans="1:15" x14ac:dyDescent="0.3">
      <c r="A7" s="714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0"/>
    </row>
    <row r="8" spans="1:15" x14ac:dyDescent="0.3">
      <c r="A8" s="716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0"/>
    </row>
    <row r="9" spans="1:15" x14ac:dyDescent="0.3">
      <c r="A9" s="717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0"/>
    </row>
    <row r="10" spans="1:15" x14ac:dyDescent="0.3">
      <c r="A10" s="718">
        <v>10</v>
      </c>
      <c r="B10" s="719" t="s">
        <v>385</v>
      </c>
      <c r="C10" s="283">
        <f>'SU 06001'!N2</f>
        <v>1.3710986506763019</v>
      </c>
      <c r="D10" s="720">
        <f>SU_06001_q</f>
        <v>2</v>
      </c>
      <c r="E10" s="283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0"/>
    </row>
    <row r="11" spans="1:15" x14ac:dyDescent="0.3">
      <c r="A11" s="718">
        <v>20</v>
      </c>
      <c r="B11" s="721" t="s">
        <v>386</v>
      </c>
      <c r="C11" s="283">
        <f>'SU 06002'!N2</f>
        <v>1.5427786126391492</v>
      </c>
      <c r="D11" s="682">
        <f>SU_06002_q</f>
        <v>1</v>
      </c>
      <c r="E11" s="283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0"/>
    </row>
    <row r="12" spans="1:15" x14ac:dyDescent="0.3">
      <c r="A12" s="718">
        <v>30</v>
      </c>
      <c r="B12" s="722" t="s">
        <v>387</v>
      </c>
      <c r="C12" s="283">
        <f>'SU 06003'!N2</f>
        <v>0.88140624999999995</v>
      </c>
      <c r="D12" s="682">
        <f>SU_06003_q</f>
        <v>2</v>
      </c>
      <c r="E12" s="283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3"/>
    </row>
    <row r="13" spans="1:15" x14ac:dyDescent="0.3">
      <c r="A13" s="724">
        <v>40</v>
      </c>
      <c r="B13" s="719" t="s">
        <v>388</v>
      </c>
      <c r="C13" s="283">
        <f>'SU 06004'!N2</f>
        <v>2.2702062500000002</v>
      </c>
      <c r="D13" s="26">
        <f>SU_06004_q</f>
        <v>2</v>
      </c>
      <c r="E13" s="283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0"/>
    </row>
    <row r="14" spans="1:15" x14ac:dyDescent="0.3">
      <c r="A14" s="716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0"/>
    </row>
    <row r="15" spans="1:15" x14ac:dyDescent="0.3">
      <c r="A15" s="716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0"/>
    </row>
    <row r="16" spans="1:15" x14ac:dyDescent="0.3">
      <c r="A16" s="714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0"/>
    </row>
    <row r="17" spans="1:15" x14ac:dyDescent="0.3">
      <c r="A17" s="725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70"/>
    </row>
    <row r="18" spans="1:15" s="22" customFormat="1" x14ac:dyDescent="0.3">
      <c r="A18" s="725">
        <v>20</v>
      </c>
      <c r="B18" s="72" t="s">
        <v>350</v>
      </c>
      <c r="C18" s="726" t="s">
        <v>393</v>
      </c>
      <c r="D18" s="74">
        <v>10</v>
      </c>
      <c r="E18" s="727">
        <v>6.0000000000000001E-3</v>
      </c>
      <c r="F18" s="727" t="s">
        <v>276</v>
      </c>
      <c r="G18" s="727"/>
      <c r="H18" s="75"/>
      <c r="I18" s="728"/>
      <c r="J18" s="97"/>
      <c r="K18" s="78"/>
      <c r="L18" s="79"/>
      <c r="M18" s="81">
        <v>1</v>
      </c>
      <c r="N18" s="74">
        <f>M18*D18*E18</f>
        <v>0.06</v>
      </c>
      <c r="O18" s="729"/>
    </row>
    <row r="19" spans="1:15" x14ac:dyDescent="0.3">
      <c r="A19" s="730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0.09</v>
      </c>
      <c r="O19" s="270"/>
    </row>
    <row r="20" spans="1:15" x14ac:dyDescent="0.3">
      <c r="A20" s="716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0"/>
    </row>
    <row r="21" spans="1:15" s="25" customFormat="1" x14ac:dyDescent="0.3">
      <c r="A21" s="714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1"/>
    </row>
    <row r="22" spans="1:15" x14ac:dyDescent="0.3">
      <c r="A22" s="725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2">
        <v>10</v>
      </c>
      <c r="G22" s="732"/>
      <c r="H22" s="732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0"/>
    </row>
    <row r="23" spans="1:15" x14ac:dyDescent="0.3">
      <c r="A23" s="725">
        <v>20</v>
      </c>
      <c r="B23" s="733" t="s">
        <v>354</v>
      </c>
      <c r="C23" s="72" t="s">
        <v>395</v>
      </c>
      <c r="D23" s="74">
        <v>5.25</v>
      </c>
      <c r="E23" s="733" t="s">
        <v>276</v>
      </c>
      <c r="F23" s="732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0"/>
    </row>
    <row r="24" spans="1:15" x14ac:dyDescent="0.3">
      <c r="A24" s="725">
        <v>30</v>
      </c>
      <c r="B24" s="733" t="s">
        <v>354</v>
      </c>
      <c r="C24" s="72" t="s">
        <v>396</v>
      </c>
      <c r="D24" s="74">
        <v>5.25</v>
      </c>
      <c r="E24" s="72" t="s">
        <v>276</v>
      </c>
      <c r="F24" s="732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0"/>
    </row>
    <row r="25" spans="1:15" s="17" customFormat="1" x14ac:dyDescent="0.3">
      <c r="A25" s="725">
        <v>40</v>
      </c>
      <c r="B25" s="733" t="s">
        <v>225</v>
      </c>
      <c r="C25" s="72" t="s">
        <v>397</v>
      </c>
      <c r="D25" s="74">
        <v>0.06</v>
      </c>
      <c r="E25" s="72" t="s">
        <v>35</v>
      </c>
      <c r="F25" s="732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34"/>
    </row>
    <row r="26" spans="1:15" s="25" customFormat="1" x14ac:dyDescent="0.3">
      <c r="A26" s="725">
        <v>50</v>
      </c>
      <c r="B26" s="733" t="s">
        <v>225</v>
      </c>
      <c r="C26" s="72" t="s">
        <v>398</v>
      </c>
      <c r="D26" s="74">
        <v>0.06</v>
      </c>
      <c r="E26" s="72" t="s">
        <v>35</v>
      </c>
      <c r="F26" s="732">
        <v>1</v>
      </c>
      <c r="G26" s="732"/>
      <c r="H26" s="732"/>
      <c r="I26" s="74">
        <f t="shared" si="0"/>
        <v>0.06</v>
      </c>
      <c r="J26" s="57"/>
      <c r="K26" s="57"/>
      <c r="L26" s="57"/>
      <c r="M26" s="57"/>
      <c r="N26" s="57"/>
      <c r="O26" s="731"/>
    </row>
    <row r="27" spans="1:15" s="17" customFormat="1" ht="14.4" customHeight="1" x14ac:dyDescent="0.3">
      <c r="A27" s="735">
        <v>60</v>
      </c>
      <c r="B27" s="736" t="s">
        <v>225</v>
      </c>
      <c r="C27" s="736" t="s">
        <v>399</v>
      </c>
      <c r="D27" s="74">
        <v>0.06</v>
      </c>
      <c r="E27" s="736" t="s">
        <v>35</v>
      </c>
      <c r="F27" s="737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34"/>
    </row>
    <row r="28" spans="1:15" s="17" customFormat="1" ht="14.4" customHeight="1" x14ac:dyDescent="0.3">
      <c r="A28" s="718">
        <v>70</v>
      </c>
      <c r="B28" s="738" t="s">
        <v>363</v>
      </c>
      <c r="C28" s="660" t="s">
        <v>400</v>
      </c>
      <c r="D28" s="283">
        <v>0.12</v>
      </c>
      <c r="E28" s="27" t="s">
        <v>35</v>
      </c>
      <c r="F28" s="26">
        <v>1</v>
      </c>
      <c r="G28" s="682"/>
      <c r="H28" s="739"/>
      <c r="I28" s="74">
        <f t="shared" si="0"/>
        <v>0.12</v>
      </c>
      <c r="J28" s="57"/>
      <c r="K28" s="57"/>
      <c r="L28" s="57"/>
      <c r="M28" s="57"/>
      <c r="N28" s="57"/>
      <c r="O28" s="734"/>
    </row>
    <row r="29" spans="1:15" s="17" customFormat="1" ht="14.4" customHeight="1" x14ac:dyDescent="0.3">
      <c r="A29" s="718">
        <v>80</v>
      </c>
      <c r="B29" s="738" t="s">
        <v>363</v>
      </c>
      <c r="C29" s="740" t="s">
        <v>401</v>
      </c>
      <c r="D29" s="283">
        <v>0.12</v>
      </c>
      <c r="E29" s="27" t="s">
        <v>35</v>
      </c>
      <c r="F29" s="26">
        <v>1</v>
      </c>
      <c r="G29" s="682"/>
      <c r="H29" s="739"/>
      <c r="I29" s="74">
        <f t="shared" si="0"/>
        <v>0.12</v>
      </c>
      <c r="J29" s="57"/>
      <c r="K29" s="57"/>
      <c r="L29" s="57"/>
      <c r="M29" s="57"/>
      <c r="N29" s="57"/>
      <c r="O29" s="734"/>
    </row>
    <row r="30" spans="1:15" s="17" customFormat="1" ht="14.4" customHeight="1" x14ac:dyDescent="0.3">
      <c r="A30" s="718">
        <v>90</v>
      </c>
      <c r="B30" s="738" t="s">
        <v>366</v>
      </c>
      <c r="C30" s="740" t="s">
        <v>367</v>
      </c>
      <c r="D30" s="283">
        <v>0.75</v>
      </c>
      <c r="E30" s="27" t="s">
        <v>35</v>
      </c>
      <c r="F30" s="26">
        <v>1</v>
      </c>
      <c r="G30" s="682"/>
      <c r="H30" s="739"/>
      <c r="I30" s="74">
        <f t="shared" si="0"/>
        <v>0.75</v>
      </c>
      <c r="J30" s="57"/>
      <c r="K30" s="57"/>
      <c r="L30" s="57"/>
      <c r="M30" s="57"/>
      <c r="N30" s="57"/>
      <c r="O30" s="734"/>
    </row>
    <row r="31" spans="1:15" s="17" customFormat="1" ht="14.4" customHeight="1" x14ac:dyDescent="0.3">
      <c r="A31" s="718">
        <v>100</v>
      </c>
      <c r="B31" s="738" t="s">
        <v>368</v>
      </c>
      <c r="C31" s="740" t="s">
        <v>367</v>
      </c>
      <c r="D31" s="283">
        <v>0.25</v>
      </c>
      <c r="E31" s="27" t="s">
        <v>35</v>
      </c>
      <c r="F31" s="26">
        <v>1</v>
      </c>
      <c r="G31" s="682"/>
      <c r="H31" s="739"/>
      <c r="I31" s="74">
        <f t="shared" si="0"/>
        <v>0.25</v>
      </c>
      <c r="J31" s="57"/>
      <c r="K31" s="57"/>
      <c r="L31" s="57"/>
      <c r="M31" s="57"/>
      <c r="N31" s="57"/>
      <c r="O31" s="734"/>
    </row>
    <row r="32" spans="1:15" x14ac:dyDescent="0.3">
      <c r="A32" s="730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0"/>
    </row>
    <row r="33" spans="1:15" x14ac:dyDescent="0.3">
      <c r="A33" s="716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0"/>
    </row>
    <row r="34" spans="1:15" x14ac:dyDescent="0.3">
      <c r="A34" s="714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0"/>
    </row>
    <row r="35" spans="1:15" x14ac:dyDescent="0.3">
      <c r="A35" s="725">
        <v>10</v>
      </c>
      <c r="B35" s="72" t="s">
        <v>369</v>
      </c>
      <c r="C35" s="72" t="s">
        <v>402</v>
      </c>
      <c r="D35" s="670">
        <f>0.8/105154*E35^2*G35*SQRT(G35)+0.003*EXP(0.319*E35)</f>
        <v>0.18547981844542938</v>
      </c>
      <c r="E35" s="671">
        <v>8</v>
      </c>
      <c r="F35" s="671" t="s">
        <v>30</v>
      </c>
      <c r="G35" s="671">
        <v>45</v>
      </c>
      <c r="H35" s="671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0"/>
    </row>
    <row r="36" spans="1:15" x14ac:dyDescent="0.3">
      <c r="A36" s="725">
        <v>20</v>
      </c>
      <c r="B36" s="72" t="s">
        <v>371</v>
      </c>
      <c r="C36" s="72" t="s">
        <v>402</v>
      </c>
      <c r="D36" s="670">
        <v>0.01</v>
      </c>
      <c r="E36" s="72"/>
      <c r="F36" s="672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0"/>
    </row>
    <row r="37" spans="1:15" x14ac:dyDescent="0.3">
      <c r="A37" s="725">
        <v>30</v>
      </c>
      <c r="B37" s="72" t="s">
        <v>372</v>
      </c>
      <c r="C37" s="72" t="s">
        <v>402</v>
      </c>
      <c r="D37" s="670">
        <f>0.009*EXP(0.2*E37)</f>
        <v>4.4577291819556032E-2</v>
      </c>
      <c r="E37" s="72">
        <v>8</v>
      </c>
      <c r="F37" s="672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0"/>
    </row>
    <row r="38" spans="1:15" x14ac:dyDescent="0.3">
      <c r="A38" s="730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0"/>
    </row>
    <row r="39" spans="1:15" x14ac:dyDescent="0.3">
      <c r="A39" s="716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0"/>
    </row>
    <row r="40" spans="1:15" x14ac:dyDescent="0.3">
      <c r="A40" s="714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0"/>
    </row>
    <row r="41" spans="1:15" x14ac:dyDescent="0.3">
      <c r="A41" s="725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70"/>
    </row>
    <row r="42" spans="1:15" x14ac:dyDescent="0.3">
      <c r="A42" s="730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0.33333333333333331</v>
      </c>
      <c r="J42" s="24"/>
      <c r="K42" s="56"/>
      <c r="L42" s="56"/>
      <c r="M42" s="56"/>
      <c r="N42" s="56"/>
      <c r="O42" s="270"/>
    </row>
    <row r="43" spans="1:15" ht="15" thickBot="1" x14ac:dyDescent="0.35">
      <c r="A43" s="290"/>
      <c r="B43" s="291"/>
      <c r="C43" s="291"/>
      <c r="D43" s="291"/>
      <c r="E43" s="291"/>
      <c r="F43" s="291"/>
      <c r="G43" s="291"/>
      <c r="H43" s="291"/>
      <c r="I43" s="291"/>
      <c r="J43" s="291"/>
      <c r="K43" s="291"/>
      <c r="L43" s="291"/>
      <c r="M43" s="291"/>
      <c r="N43" s="291"/>
      <c r="O43" s="292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70866141732283472" right="0.70866141732283472" top="0.74803149606299213" bottom="0.74803149606299213" header="0.31496062992125984" footer="0.31496062992125984"/>
  <pageSetup paperSize="9" scale="67" firstPageNumber="0" fitToHeight="99" orientation="landscape" r:id="rId1"/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80"/>
  <sheetViews>
    <sheetView view="pageLayout" zoomScale="70" zoomScaleNormal="80" zoomScalePageLayoutView="70" workbookViewId="0">
      <selection activeCell="E32" sqref="E3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741" t="s">
        <v>0</v>
      </c>
      <c r="B2" s="16" t="s">
        <v>37</v>
      </c>
      <c r="C2" s="742"/>
      <c r="D2" s="742"/>
      <c r="E2" s="742"/>
      <c r="F2" s="88" t="s">
        <v>126</v>
      </c>
      <c r="G2" s="742"/>
      <c r="H2" s="742"/>
      <c r="I2" s="742"/>
      <c r="J2" s="743" t="s">
        <v>1</v>
      </c>
      <c r="K2" s="744">
        <v>81</v>
      </c>
      <c r="L2" s="742"/>
      <c r="M2" s="741" t="s">
        <v>16</v>
      </c>
      <c r="N2" s="745">
        <f>SU_06001_m+SU_06001_p</f>
        <v>1.3710986506763019</v>
      </c>
      <c r="O2" s="270"/>
    </row>
    <row r="3" spans="1:15" x14ac:dyDescent="0.3">
      <c r="A3" s="741" t="s">
        <v>3</v>
      </c>
      <c r="B3" s="16" t="str">
        <f>'SU A0600'!B3</f>
        <v>Suspension &amp; Shocks</v>
      </c>
      <c r="C3" s="742"/>
      <c r="D3" s="741" t="s">
        <v>6</v>
      </c>
      <c r="E3" s="742"/>
      <c r="F3" s="742"/>
      <c r="G3" s="742"/>
      <c r="H3" s="742"/>
      <c r="I3" s="742"/>
      <c r="J3" s="742"/>
      <c r="K3" s="742"/>
      <c r="L3" s="742"/>
      <c r="M3" s="741" t="s">
        <v>4</v>
      </c>
      <c r="N3" s="746">
        <v>2</v>
      </c>
      <c r="O3" s="270"/>
    </row>
    <row r="4" spans="1:15" x14ac:dyDescent="0.3">
      <c r="A4" s="741" t="s">
        <v>5</v>
      </c>
      <c r="B4" s="88" t="str">
        <f>'SU A0600'!B4</f>
        <v>Front Bell Crank</v>
      </c>
      <c r="C4" s="742"/>
      <c r="D4" s="741" t="s">
        <v>8</v>
      </c>
      <c r="E4" s="742"/>
      <c r="F4" s="742"/>
      <c r="G4" s="742"/>
      <c r="H4" s="742"/>
      <c r="I4" s="742"/>
      <c r="J4" s="741" t="s">
        <v>6</v>
      </c>
      <c r="K4" s="742"/>
      <c r="L4" s="742"/>
      <c r="M4" s="742"/>
      <c r="N4" s="742"/>
      <c r="O4" s="270"/>
    </row>
    <row r="5" spans="1:15" x14ac:dyDescent="0.3">
      <c r="A5" s="741" t="s">
        <v>15</v>
      </c>
      <c r="B5" s="747" t="s">
        <v>385</v>
      </c>
      <c r="C5" s="742"/>
      <c r="D5" s="741" t="s">
        <v>12</v>
      </c>
      <c r="E5" s="742"/>
      <c r="F5" s="742"/>
      <c r="G5" s="742"/>
      <c r="H5" s="742"/>
      <c r="I5" s="742"/>
      <c r="J5" s="741" t="s">
        <v>8</v>
      </c>
      <c r="K5" s="742"/>
      <c r="L5" s="742"/>
      <c r="M5" s="741" t="s">
        <v>9</v>
      </c>
      <c r="N5" s="745">
        <f>N2*SU_06001_q</f>
        <v>2.7421973013526038</v>
      </c>
      <c r="O5" s="270"/>
    </row>
    <row r="6" spans="1:15" x14ac:dyDescent="0.3">
      <c r="A6" s="741" t="s">
        <v>7</v>
      </c>
      <c r="B6" s="742" t="s">
        <v>404</v>
      </c>
      <c r="C6" s="742"/>
      <c r="D6" s="742"/>
      <c r="E6" s="742"/>
      <c r="F6" s="742"/>
      <c r="G6" s="742"/>
      <c r="H6" s="742"/>
      <c r="I6" s="742"/>
      <c r="J6" s="741" t="s">
        <v>12</v>
      </c>
      <c r="K6" s="742"/>
      <c r="L6" s="742"/>
      <c r="M6" s="742"/>
      <c r="N6" s="742"/>
      <c r="O6" s="270"/>
    </row>
    <row r="7" spans="1:15" x14ac:dyDescent="0.3">
      <c r="A7" s="741" t="s">
        <v>10</v>
      </c>
      <c r="B7" s="16" t="s">
        <v>11</v>
      </c>
      <c r="C7" s="742"/>
      <c r="D7" s="742"/>
      <c r="E7" s="742"/>
      <c r="F7" s="742"/>
      <c r="G7" s="742"/>
      <c r="H7" s="742"/>
      <c r="I7" s="742"/>
      <c r="J7" s="742"/>
      <c r="K7" s="742"/>
      <c r="L7" s="742"/>
      <c r="M7" s="742"/>
      <c r="N7" s="742"/>
      <c r="O7" s="270"/>
    </row>
    <row r="8" spans="1:15" x14ac:dyDescent="0.3">
      <c r="A8" s="741" t="s">
        <v>13</v>
      </c>
      <c r="B8" s="16"/>
      <c r="C8" s="742"/>
      <c r="D8" s="742"/>
      <c r="E8" s="742"/>
      <c r="F8" s="742"/>
      <c r="G8" s="742"/>
      <c r="H8" s="742"/>
      <c r="I8" s="742"/>
      <c r="J8" s="742"/>
      <c r="K8" s="742"/>
      <c r="L8" s="742"/>
      <c r="M8" s="742"/>
      <c r="N8" s="742"/>
      <c r="O8" s="270"/>
    </row>
    <row r="9" spans="1:15" x14ac:dyDescent="0.3">
      <c r="A9" s="748"/>
      <c r="B9" s="742"/>
      <c r="C9" s="742"/>
      <c r="D9" s="742"/>
      <c r="E9" s="742"/>
      <c r="F9" s="742"/>
      <c r="G9" s="742"/>
      <c r="H9" s="742"/>
      <c r="I9" s="742"/>
      <c r="J9" s="742"/>
      <c r="K9" s="742"/>
      <c r="L9" s="742"/>
      <c r="M9" s="742"/>
      <c r="N9" s="742"/>
      <c r="O9" s="270"/>
    </row>
    <row r="10" spans="1:15" x14ac:dyDescent="0.3">
      <c r="A10" s="749" t="s">
        <v>14</v>
      </c>
      <c r="B10" s="750" t="s">
        <v>19</v>
      </c>
      <c r="C10" s="750" t="s">
        <v>20</v>
      </c>
      <c r="D10" s="750" t="s">
        <v>21</v>
      </c>
      <c r="E10" s="750" t="s">
        <v>22</v>
      </c>
      <c r="F10" s="750" t="s">
        <v>23</v>
      </c>
      <c r="G10" s="750" t="s">
        <v>24</v>
      </c>
      <c r="H10" s="750" t="s">
        <v>25</v>
      </c>
      <c r="I10" s="750" t="s">
        <v>26</v>
      </c>
      <c r="J10" s="750" t="s">
        <v>27</v>
      </c>
      <c r="K10" s="750" t="s">
        <v>28</v>
      </c>
      <c r="L10" s="750" t="s">
        <v>29</v>
      </c>
      <c r="M10" s="750" t="s">
        <v>17</v>
      </c>
      <c r="N10" s="750" t="s">
        <v>18</v>
      </c>
      <c r="O10" s="270"/>
    </row>
    <row r="11" spans="1:15" x14ac:dyDescent="0.3">
      <c r="A11" s="751">
        <v>10</v>
      </c>
      <c r="B11" s="752" t="s">
        <v>405</v>
      </c>
      <c r="C11" s="753" t="s">
        <v>406</v>
      </c>
      <c r="D11" s="754">
        <v>3.3</v>
      </c>
      <c r="E11" s="755">
        <f>J11*K11*L11</f>
        <v>1.3969288083727863E-2</v>
      </c>
      <c r="F11" s="753" t="s">
        <v>212</v>
      </c>
      <c r="G11" s="753"/>
      <c r="H11" s="756"/>
      <c r="I11" s="757" t="s">
        <v>407</v>
      </c>
      <c r="J11" s="757">
        <f>PI()*(7.5*10^-3)^2</f>
        <v>1.7671458676442585E-4</v>
      </c>
      <c r="K11" s="758">
        <v>9.2999999999999992E-3</v>
      </c>
      <c r="L11" s="759">
        <v>8500</v>
      </c>
      <c r="M11" s="759">
        <v>1</v>
      </c>
      <c r="N11" s="754">
        <f>D11*E11</f>
        <v>4.6098650676301943E-2</v>
      </c>
      <c r="O11" s="270"/>
    </row>
    <row r="12" spans="1:15" x14ac:dyDescent="0.3">
      <c r="A12" s="760"/>
      <c r="B12" s="761"/>
      <c r="C12" s="761"/>
      <c r="D12" s="761"/>
      <c r="E12" s="761"/>
      <c r="F12" s="761"/>
      <c r="G12" s="761"/>
      <c r="H12" s="761"/>
      <c r="I12" s="761"/>
      <c r="J12" s="761"/>
      <c r="K12" s="761"/>
      <c r="L12" s="761"/>
      <c r="M12" s="762" t="s">
        <v>18</v>
      </c>
      <c r="N12" s="763">
        <f>N11</f>
        <v>4.6098650676301943E-2</v>
      </c>
      <c r="O12" s="270"/>
    </row>
    <row r="13" spans="1:15" x14ac:dyDescent="0.3">
      <c r="A13" s="748"/>
      <c r="B13" s="742"/>
      <c r="C13" s="742"/>
      <c r="D13" s="742"/>
      <c r="E13" s="742"/>
      <c r="F13" s="742"/>
      <c r="G13" s="742"/>
      <c r="H13" s="742"/>
      <c r="I13" s="742"/>
      <c r="J13" s="742"/>
      <c r="K13" s="742"/>
      <c r="L13" s="742"/>
      <c r="M13" s="742"/>
      <c r="N13" s="742"/>
      <c r="O13" s="270"/>
    </row>
    <row r="14" spans="1:15" x14ac:dyDescent="0.3">
      <c r="A14" s="749" t="s">
        <v>14</v>
      </c>
      <c r="B14" s="750" t="s">
        <v>31</v>
      </c>
      <c r="C14" s="750" t="s">
        <v>20</v>
      </c>
      <c r="D14" s="750" t="s">
        <v>21</v>
      </c>
      <c r="E14" s="750" t="s">
        <v>32</v>
      </c>
      <c r="F14" s="750" t="s">
        <v>17</v>
      </c>
      <c r="G14" s="750" t="s">
        <v>33</v>
      </c>
      <c r="H14" s="750" t="s">
        <v>34</v>
      </c>
      <c r="I14" s="750" t="s">
        <v>18</v>
      </c>
      <c r="J14" s="761"/>
      <c r="K14" s="761"/>
      <c r="L14" s="761"/>
      <c r="M14" s="761"/>
      <c r="N14" s="761"/>
      <c r="O14" s="270"/>
    </row>
    <row r="15" spans="1:15" x14ac:dyDescent="0.3">
      <c r="A15" s="751">
        <v>10</v>
      </c>
      <c r="B15" s="753" t="s">
        <v>39</v>
      </c>
      <c r="C15" s="753"/>
      <c r="D15" s="754">
        <v>1.3</v>
      </c>
      <c r="E15" s="753" t="s">
        <v>35</v>
      </c>
      <c r="F15" s="753">
        <v>1</v>
      </c>
      <c r="G15" s="753"/>
      <c r="H15" s="753"/>
      <c r="I15" s="754">
        <v>1.3</v>
      </c>
      <c r="J15" s="742"/>
      <c r="K15" s="742"/>
      <c r="L15" s="742"/>
      <c r="M15" s="742"/>
      <c r="N15" s="742"/>
      <c r="O15" s="270"/>
    </row>
    <row r="16" spans="1:15" x14ac:dyDescent="0.3">
      <c r="A16" s="751">
        <v>20</v>
      </c>
      <c r="B16" s="753" t="s">
        <v>408</v>
      </c>
      <c r="C16" s="753" t="s">
        <v>409</v>
      </c>
      <c r="D16" s="754">
        <v>0.04</v>
      </c>
      <c r="E16" s="753" t="s">
        <v>161</v>
      </c>
      <c r="F16" s="753">
        <v>1.25</v>
      </c>
      <c r="G16" s="753" t="s">
        <v>410</v>
      </c>
      <c r="H16" s="753">
        <v>0.5</v>
      </c>
      <c r="I16" s="754">
        <f>D16*F16*H16</f>
        <v>2.5000000000000001E-2</v>
      </c>
      <c r="J16" s="742"/>
      <c r="K16" s="742"/>
      <c r="L16" s="742"/>
      <c r="M16" s="742"/>
      <c r="N16" s="742"/>
      <c r="O16" s="270"/>
    </row>
    <row r="17" spans="1:15" x14ac:dyDescent="0.3">
      <c r="A17" s="760"/>
      <c r="B17" s="761"/>
      <c r="C17" s="761"/>
      <c r="D17" s="761"/>
      <c r="E17" s="761"/>
      <c r="F17" s="761"/>
      <c r="G17" s="761"/>
      <c r="H17" s="762" t="s">
        <v>18</v>
      </c>
      <c r="I17" s="764">
        <f>I15+I16</f>
        <v>1.325</v>
      </c>
      <c r="J17" s="761"/>
      <c r="K17" s="761"/>
      <c r="L17" s="761"/>
      <c r="M17" s="761"/>
      <c r="N17" s="761"/>
      <c r="O17" s="270"/>
    </row>
    <row r="18" spans="1:15" x14ac:dyDescent="0.3">
      <c r="A18" s="748"/>
      <c r="B18" s="742"/>
      <c r="C18" s="742"/>
      <c r="D18" s="742"/>
      <c r="E18" s="742"/>
      <c r="F18" s="742"/>
      <c r="G18" s="742"/>
      <c r="H18" s="744"/>
      <c r="I18" s="745"/>
      <c r="J18" s="742"/>
      <c r="K18" s="742"/>
      <c r="L18" s="742"/>
      <c r="M18" s="742"/>
      <c r="N18" s="742"/>
      <c r="O18" s="270"/>
    </row>
    <row r="19" spans="1:15" x14ac:dyDescent="0.3">
      <c r="A19" s="748"/>
      <c r="B19" s="742"/>
      <c r="C19" s="742"/>
      <c r="D19" s="742"/>
      <c r="E19" s="742"/>
      <c r="F19" s="742"/>
      <c r="G19" s="742"/>
      <c r="H19" s="742"/>
      <c r="I19" s="742"/>
      <c r="J19" s="742"/>
      <c r="K19" s="742"/>
      <c r="L19" s="742"/>
      <c r="M19" s="742"/>
      <c r="N19" s="742"/>
      <c r="O19" s="270"/>
    </row>
    <row r="20" spans="1:15" x14ac:dyDescent="0.3">
      <c r="A20" s="748"/>
      <c r="B20" s="742"/>
      <c r="C20" s="742"/>
      <c r="D20" s="742"/>
      <c r="E20" s="742"/>
      <c r="F20" s="742"/>
      <c r="G20" s="742"/>
      <c r="H20" s="742"/>
      <c r="I20" s="742"/>
      <c r="J20" s="742"/>
      <c r="K20" s="742"/>
      <c r="L20" s="742"/>
      <c r="M20" s="742"/>
      <c r="N20" s="742"/>
      <c r="O20" s="270"/>
    </row>
    <row r="21" spans="1:15" x14ac:dyDescent="0.3">
      <c r="A21" s="748"/>
      <c r="B21" s="742"/>
      <c r="C21" s="742"/>
      <c r="D21" s="742"/>
      <c r="E21" s="742"/>
      <c r="F21" s="742"/>
      <c r="G21" s="742"/>
      <c r="H21" s="742"/>
      <c r="I21" s="742"/>
      <c r="J21" s="742"/>
      <c r="K21" s="742"/>
      <c r="L21" s="742"/>
      <c r="M21" s="742"/>
      <c r="N21" s="742"/>
      <c r="O21" s="270"/>
    </row>
    <row r="22" spans="1:15" ht="15" thickBot="1" x14ac:dyDescent="0.35">
      <c r="A22" s="765"/>
      <c r="B22" s="766"/>
      <c r="C22" s="766"/>
      <c r="D22" s="766"/>
      <c r="E22" s="766"/>
      <c r="F22" s="766"/>
      <c r="G22" s="766"/>
      <c r="H22" s="766"/>
      <c r="I22" s="766"/>
      <c r="J22" s="766"/>
      <c r="K22" s="766"/>
      <c r="L22" s="766"/>
      <c r="M22" s="766"/>
      <c r="N22" s="766"/>
      <c r="O22" s="292"/>
    </row>
    <row r="23" spans="1:15" x14ac:dyDescent="0.3">
      <c r="A23" s="16"/>
      <c r="B23" s="767"/>
      <c r="C23" s="767"/>
      <c r="D23" s="767"/>
      <c r="E23" s="767"/>
      <c r="F23" s="767"/>
      <c r="G23" s="767"/>
      <c r="H23" s="767"/>
      <c r="I23" s="767"/>
      <c r="J23" s="767"/>
      <c r="K23" s="767"/>
      <c r="L23" s="767"/>
      <c r="M23" s="767"/>
      <c r="N23" s="767"/>
    </row>
    <row r="24" spans="1:15" x14ac:dyDescent="0.3">
      <c r="A24" s="16"/>
      <c r="B24" s="767"/>
      <c r="C24" s="767"/>
      <c r="D24" s="767"/>
      <c r="E24" s="767"/>
      <c r="F24" s="767"/>
      <c r="G24" s="767"/>
      <c r="H24" s="767"/>
      <c r="I24" s="767"/>
      <c r="J24" s="767"/>
      <c r="K24" s="767"/>
      <c r="L24" s="767"/>
      <c r="M24" s="767"/>
      <c r="N24" s="767"/>
    </row>
    <row r="25" spans="1:15" x14ac:dyDescent="0.3">
      <c r="A25" s="88"/>
      <c r="B25" s="767"/>
      <c r="C25" s="767"/>
      <c r="D25" s="767"/>
      <c r="E25" s="767"/>
      <c r="F25" s="767"/>
      <c r="G25" s="767"/>
      <c r="H25" s="767"/>
      <c r="I25" s="767"/>
      <c r="J25" s="767"/>
      <c r="K25" s="767"/>
      <c r="L25" s="767"/>
      <c r="M25" s="767"/>
      <c r="N25" s="767"/>
    </row>
    <row r="26" spans="1:15" x14ac:dyDescent="0.3">
      <c r="A26" s="18"/>
      <c r="B26" s="767"/>
      <c r="C26" s="767"/>
      <c r="D26" s="767"/>
      <c r="E26" s="767"/>
      <c r="F26" s="767"/>
      <c r="G26" s="767"/>
      <c r="H26" s="767"/>
      <c r="I26" s="767"/>
      <c r="J26" s="767"/>
      <c r="K26" s="767"/>
      <c r="L26" s="767"/>
      <c r="M26" s="767"/>
      <c r="N26" s="767"/>
    </row>
    <row r="27" spans="1:15" x14ac:dyDescent="0.3">
      <c r="A27" s="28"/>
      <c r="B27" s="767"/>
      <c r="C27" s="767"/>
      <c r="D27" s="767"/>
      <c r="E27" s="767"/>
      <c r="F27" s="767"/>
      <c r="G27" s="767"/>
      <c r="H27" s="767"/>
      <c r="I27" s="767"/>
      <c r="J27" s="767"/>
      <c r="K27" s="767"/>
      <c r="L27" s="767"/>
      <c r="M27" s="767"/>
      <c r="N27" s="767"/>
    </row>
    <row r="28" spans="1:15" x14ac:dyDescent="0.3">
      <c r="A28" s="16"/>
      <c r="B28" s="767"/>
      <c r="C28" s="767"/>
      <c r="D28" s="767"/>
      <c r="E28" s="767"/>
      <c r="F28" s="767"/>
      <c r="G28" s="767"/>
      <c r="H28" s="767"/>
      <c r="I28" s="767"/>
      <c r="J28" s="767"/>
      <c r="K28" s="767"/>
      <c r="L28" s="767"/>
      <c r="M28" s="767"/>
      <c r="N28" s="767"/>
    </row>
    <row r="29" spans="1:15" x14ac:dyDescent="0.3">
      <c r="A29" s="16"/>
      <c r="B29" s="767"/>
      <c r="C29" s="767"/>
      <c r="D29" s="767"/>
      <c r="E29" s="767"/>
      <c r="F29" s="767"/>
      <c r="G29" s="767"/>
      <c r="H29" s="767"/>
      <c r="I29" s="767"/>
      <c r="J29" s="767"/>
      <c r="K29" s="767"/>
      <c r="L29" s="767"/>
      <c r="M29" s="767"/>
      <c r="N29" s="767"/>
    </row>
    <row r="30" spans="1:15" x14ac:dyDescent="0.3">
      <c r="A30" s="767"/>
      <c r="B30" s="767"/>
      <c r="C30" s="767"/>
      <c r="D30" s="767"/>
      <c r="E30" s="767"/>
      <c r="F30" s="767"/>
      <c r="G30" s="767"/>
      <c r="H30" s="767"/>
      <c r="I30" s="767"/>
      <c r="J30" s="767"/>
      <c r="K30" s="767"/>
      <c r="L30" s="767"/>
      <c r="M30" s="767"/>
      <c r="N30" s="767"/>
    </row>
    <row r="31" spans="1:15" x14ac:dyDescent="0.3">
      <c r="A31" s="767"/>
      <c r="B31" s="767"/>
      <c r="C31" s="767"/>
      <c r="D31" s="767"/>
      <c r="E31" s="767"/>
      <c r="F31" s="767"/>
      <c r="G31" s="767"/>
      <c r="H31" s="767"/>
      <c r="I31" s="767"/>
      <c r="J31" s="767"/>
      <c r="K31" s="767"/>
      <c r="L31" s="767"/>
      <c r="M31" s="767"/>
      <c r="N31" s="767"/>
    </row>
    <row r="32" spans="1:15" x14ac:dyDescent="0.3">
      <c r="A32" s="767"/>
      <c r="B32" s="767"/>
      <c r="C32" s="767"/>
      <c r="D32" s="767"/>
      <c r="E32" s="767"/>
      <c r="F32" s="767"/>
      <c r="G32" s="767"/>
      <c r="H32" s="767"/>
      <c r="I32" s="767"/>
      <c r="J32" s="767"/>
      <c r="K32" s="767"/>
      <c r="L32" s="767"/>
      <c r="M32" s="767"/>
      <c r="N32" s="767"/>
    </row>
    <row r="33" spans="1:14" x14ac:dyDescent="0.3">
      <c r="A33" s="767"/>
      <c r="B33" s="767"/>
      <c r="C33" s="767"/>
      <c r="D33" s="767"/>
      <c r="E33" s="767"/>
      <c r="F33" s="767"/>
      <c r="G33" s="767"/>
      <c r="H33" s="767"/>
      <c r="I33" s="767"/>
      <c r="J33" s="767"/>
      <c r="K33" s="767"/>
      <c r="L33" s="767"/>
      <c r="M33" s="767"/>
      <c r="N33" s="767"/>
    </row>
    <row r="34" spans="1:14" x14ac:dyDescent="0.3">
      <c r="A34" s="767"/>
      <c r="B34" s="767"/>
      <c r="C34" s="767"/>
      <c r="D34" s="767"/>
      <c r="E34" s="767"/>
      <c r="F34" s="767"/>
      <c r="G34" s="767"/>
      <c r="H34" s="767"/>
      <c r="I34" s="767"/>
      <c r="J34" s="767"/>
      <c r="K34" s="767"/>
      <c r="L34" s="767"/>
      <c r="M34" s="767"/>
      <c r="N34" s="767"/>
    </row>
    <row r="35" spans="1:14" x14ac:dyDescent="0.3">
      <c r="A35" s="767"/>
      <c r="B35" s="767"/>
      <c r="C35" s="767"/>
      <c r="D35" s="767"/>
      <c r="E35" s="767"/>
      <c r="F35" s="767"/>
      <c r="G35" s="767"/>
      <c r="H35" s="767"/>
      <c r="I35" s="767"/>
      <c r="J35" s="767"/>
      <c r="K35" s="767"/>
      <c r="L35" s="767"/>
      <c r="M35" s="767"/>
      <c r="N35" s="767"/>
    </row>
    <row r="36" spans="1:14" x14ac:dyDescent="0.3">
      <c r="A36" s="767"/>
      <c r="B36" s="767"/>
      <c r="C36" s="767"/>
      <c r="D36" s="767"/>
      <c r="E36" s="767"/>
      <c r="F36" s="767"/>
      <c r="G36" s="767"/>
      <c r="H36" s="767"/>
      <c r="I36" s="767"/>
      <c r="J36" s="767"/>
      <c r="K36" s="767"/>
      <c r="L36" s="767"/>
      <c r="M36" s="767"/>
      <c r="N36" s="767"/>
    </row>
    <row r="37" spans="1:14" x14ac:dyDescent="0.3">
      <c r="A37" s="767"/>
      <c r="B37" s="767"/>
      <c r="C37" s="767"/>
      <c r="D37" s="767"/>
      <c r="E37" s="767"/>
      <c r="F37" s="767"/>
      <c r="G37" s="767"/>
      <c r="H37" s="767"/>
      <c r="I37" s="767"/>
      <c r="J37" s="767"/>
      <c r="K37" s="767"/>
      <c r="L37" s="767"/>
      <c r="M37" s="767"/>
      <c r="N37" s="767"/>
    </row>
    <row r="38" spans="1:14" x14ac:dyDescent="0.3">
      <c r="A38" s="767"/>
      <c r="B38" s="767"/>
      <c r="C38" s="767"/>
      <c r="D38" s="767"/>
      <c r="E38" s="767"/>
      <c r="F38" s="767"/>
      <c r="G38" s="767"/>
      <c r="H38" s="767"/>
      <c r="I38" s="767"/>
      <c r="J38" s="767"/>
      <c r="K38" s="767"/>
      <c r="L38" s="767"/>
      <c r="M38" s="767"/>
      <c r="N38" s="767"/>
    </row>
    <row r="39" spans="1:14" x14ac:dyDescent="0.3">
      <c r="A39" s="767"/>
      <c r="B39" s="767"/>
      <c r="C39" s="767"/>
      <c r="D39" s="767"/>
      <c r="E39" s="767"/>
      <c r="F39" s="767"/>
      <c r="G39" s="767"/>
      <c r="H39" s="767"/>
      <c r="I39" s="767"/>
      <c r="J39" s="767"/>
      <c r="K39" s="767"/>
      <c r="L39" s="767"/>
      <c r="M39" s="767"/>
      <c r="N39" s="767"/>
    </row>
    <row r="40" spans="1:14" x14ac:dyDescent="0.3">
      <c r="A40" s="767"/>
      <c r="B40" s="767"/>
      <c r="C40" s="767"/>
      <c r="D40" s="767"/>
      <c r="E40" s="767"/>
      <c r="F40" s="767"/>
      <c r="G40" s="767"/>
      <c r="H40" s="767"/>
      <c r="I40" s="767"/>
      <c r="J40" s="767"/>
      <c r="K40" s="767"/>
      <c r="L40" s="767"/>
      <c r="M40" s="767"/>
      <c r="N40" s="767"/>
    </row>
    <row r="41" spans="1:14" x14ac:dyDescent="0.3">
      <c r="A41" s="767"/>
      <c r="B41" s="767"/>
      <c r="C41" s="767"/>
      <c r="D41" s="767"/>
      <c r="E41" s="767"/>
      <c r="F41" s="767"/>
      <c r="G41" s="767"/>
      <c r="H41" s="767"/>
      <c r="I41" s="767"/>
      <c r="J41" s="767"/>
      <c r="K41" s="767"/>
      <c r="L41" s="767"/>
      <c r="M41" s="767"/>
      <c r="N41" s="767"/>
    </row>
    <row r="42" spans="1:14" x14ac:dyDescent="0.3">
      <c r="A42" s="767"/>
      <c r="B42" s="767"/>
      <c r="C42" s="767"/>
      <c r="D42" s="767"/>
      <c r="E42" s="767"/>
      <c r="F42" s="767"/>
      <c r="G42" s="767"/>
      <c r="H42" s="767"/>
      <c r="I42" s="767"/>
      <c r="J42" s="767"/>
      <c r="K42" s="767"/>
      <c r="L42" s="767"/>
      <c r="M42" s="767"/>
      <c r="N42" s="767"/>
    </row>
    <row r="43" spans="1:14" x14ac:dyDescent="0.3">
      <c r="A43" s="767"/>
      <c r="B43" s="767"/>
      <c r="C43" s="767"/>
      <c r="D43" s="767"/>
      <c r="E43" s="767"/>
      <c r="F43" s="767"/>
      <c r="G43" s="767"/>
      <c r="H43" s="767"/>
      <c r="I43" s="767"/>
      <c r="J43" s="767"/>
      <c r="K43" s="767"/>
      <c r="L43" s="767"/>
      <c r="M43" s="767"/>
      <c r="N43" s="767"/>
    </row>
    <row r="44" spans="1:14" x14ac:dyDescent="0.3">
      <c r="A44" s="767"/>
      <c r="B44" s="767"/>
      <c r="C44" s="767"/>
      <c r="D44" s="767"/>
      <c r="E44" s="767"/>
      <c r="F44" s="767"/>
      <c r="G44" s="767"/>
      <c r="H44" s="767"/>
      <c r="I44" s="767"/>
      <c r="J44" s="767"/>
      <c r="K44" s="767"/>
      <c r="L44" s="767"/>
      <c r="M44" s="767"/>
      <c r="N44" s="767"/>
    </row>
    <row r="45" spans="1:14" x14ac:dyDescent="0.3">
      <c r="A45" s="767"/>
      <c r="B45" s="767"/>
      <c r="C45" s="767"/>
      <c r="D45" s="767"/>
      <c r="E45" s="767"/>
      <c r="F45" s="767"/>
      <c r="G45" s="767"/>
      <c r="H45" s="767"/>
      <c r="I45" s="767"/>
      <c r="J45" s="767"/>
      <c r="K45" s="767"/>
      <c r="L45" s="767"/>
      <c r="M45" s="767"/>
      <c r="N45" s="767"/>
    </row>
    <row r="46" spans="1:14" x14ac:dyDescent="0.3">
      <c r="A46" s="767"/>
      <c r="B46" s="767"/>
      <c r="C46" s="767"/>
      <c r="D46" s="767"/>
      <c r="E46" s="767"/>
      <c r="F46" s="767"/>
      <c r="G46" s="767"/>
      <c r="H46" s="767"/>
      <c r="I46" s="767"/>
      <c r="J46" s="767"/>
      <c r="K46" s="767"/>
      <c r="L46" s="767"/>
      <c r="M46" s="767"/>
      <c r="N46" s="767"/>
    </row>
    <row r="47" spans="1:14" x14ac:dyDescent="0.3">
      <c r="A47" s="767"/>
      <c r="B47" s="767"/>
      <c r="C47" s="767"/>
      <c r="D47" s="767"/>
      <c r="E47" s="767"/>
      <c r="F47" s="767"/>
      <c r="G47" s="767"/>
      <c r="H47" s="767"/>
      <c r="I47" s="767"/>
      <c r="J47" s="767"/>
      <c r="K47" s="767"/>
      <c r="L47" s="767"/>
      <c r="M47" s="767"/>
      <c r="N47" s="767"/>
    </row>
    <row r="48" spans="1:14" x14ac:dyDescent="0.3">
      <c r="A48" s="767"/>
      <c r="B48" s="767"/>
      <c r="C48" s="767"/>
      <c r="D48" s="767"/>
      <c r="E48" s="767"/>
      <c r="F48" s="767"/>
      <c r="G48" s="767"/>
      <c r="H48" s="767"/>
      <c r="I48" s="767"/>
      <c r="J48" s="767"/>
      <c r="K48" s="767"/>
      <c r="L48" s="767"/>
      <c r="M48" s="767"/>
      <c r="N48" s="767"/>
    </row>
    <row r="49" spans="1:14" x14ac:dyDescent="0.3">
      <c r="A49" s="767"/>
      <c r="B49" s="767"/>
      <c r="C49" s="767"/>
      <c r="D49" s="767"/>
      <c r="E49" s="767"/>
      <c r="F49" s="767"/>
      <c r="G49" s="767"/>
      <c r="H49" s="767"/>
      <c r="I49" s="767"/>
      <c r="J49" s="767"/>
      <c r="K49" s="767"/>
      <c r="L49" s="767"/>
      <c r="M49" s="767"/>
      <c r="N49" s="767"/>
    </row>
    <row r="50" spans="1:14" x14ac:dyDescent="0.3">
      <c r="A50" s="767"/>
      <c r="B50" s="767"/>
      <c r="C50" s="767"/>
      <c r="D50" s="767"/>
      <c r="E50" s="767"/>
      <c r="F50" s="767"/>
      <c r="G50" s="767"/>
      <c r="H50" s="767"/>
      <c r="I50" s="767"/>
      <c r="J50" s="767"/>
      <c r="K50" s="767"/>
      <c r="L50" s="767"/>
      <c r="M50" s="767"/>
      <c r="N50" s="767"/>
    </row>
    <row r="51" spans="1:14" x14ac:dyDescent="0.3">
      <c r="A51" s="767"/>
      <c r="B51" s="767"/>
      <c r="C51" s="767"/>
      <c r="D51" s="767"/>
      <c r="E51" s="767"/>
      <c r="F51" s="767"/>
      <c r="G51" s="767"/>
      <c r="H51" s="767"/>
      <c r="I51" s="767"/>
      <c r="J51" s="767"/>
      <c r="K51" s="767"/>
      <c r="L51" s="767"/>
      <c r="M51" s="767"/>
      <c r="N51" s="767"/>
    </row>
    <row r="52" spans="1:14" x14ac:dyDescent="0.3">
      <c r="A52" s="767"/>
      <c r="B52" s="767"/>
      <c r="C52" s="767"/>
      <c r="D52" s="767"/>
      <c r="E52" s="767"/>
      <c r="F52" s="767"/>
      <c r="G52" s="767"/>
      <c r="H52" s="767"/>
      <c r="I52" s="767"/>
      <c r="J52" s="767"/>
      <c r="K52" s="767"/>
      <c r="L52" s="767"/>
      <c r="M52" s="767"/>
      <c r="N52" s="767"/>
    </row>
    <row r="53" spans="1:14" x14ac:dyDescent="0.3">
      <c r="A53" s="767"/>
      <c r="B53" s="767"/>
      <c r="C53" s="767"/>
      <c r="D53" s="767"/>
      <c r="E53" s="767"/>
      <c r="F53" s="767"/>
      <c r="G53" s="767"/>
      <c r="H53" s="767"/>
      <c r="I53" s="767"/>
      <c r="J53" s="767"/>
      <c r="K53" s="767"/>
      <c r="L53" s="767"/>
      <c r="M53" s="767"/>
      <c r="N53" s="767"/>
    </row>
    <row r="54" spans="1:14" x14ac:dyDescent="0.3">
      <c r="A54" s="767"/>
      <c r="B54" s="767"/>
      <c r="C54" s="767"/>
      <c r="D54" s="767"/>
      <c r="E54" s="767"/>
      <c r="F54" s="767"/>
      <c r="G54" s="767"/>
      <c r="H54" s="767"/>
      <c r="I54" s="767"/>
      <c r="J54" s="767"/>
      <c r="K54" s="767"/>
      <c r="L54" s="767"/>
      <c r="M54" s="767"/>
      <c r="N54" s="767"/>
    </row>
    <row r="55" spans="1:14" x14ac:dyDescent="0.3">
      <c r="A55" s="767"/>
      <c r="B55" s="767"/>
      <c r="C55" s="767"/>
      <c r="D55" s="767"/>
      <c r="E55" s="767"/>
      <c r="F55" s="767"/>
      <c r="G55" s="767"/>
      <c r="H55" s="767"/>
      <c r="I55" s="767"/>
      <c r="J55" s="767"/>
      <c r="K55" s="767"/>
      <c r="L55" s="767"/>
      <c r="M55" s="767"/>
      <c r="N55" s="767"/>
    </row>
    <row r="56" spans="1:14" x14ac:dyDescent="0.3">
      <c r="A56" s="767"/>
      <c r="B56" s="767"/>
      <c r="C56" s="767"/>
      <c r="D56" s="767"/>
      <c r="E56" s="767"/>
      <c r="F56" s="767"/>
      <c r="G56" s="767"/>
      <c r="H56" s="767"/>
      <c r="I56" s="767"/>
      <c r="J56" s="767"/>
      <c r="K56" s="767"/>
      <c r="L56" s="767"/>
      <c r="M56" s="767"/>
      <c r="N56" s="767"/>
    </row>
    <row r="57" spans="1:14" x14ac:dyDescent="0.3">
      <c r="A57" s="767"/>
      <c r="B57" s="767"/>
      <c r="C57" s="767"/>
      <c r="D57" s="767"/>
      <c r="E57" s="767"/>
      <c r="F57" s="767"/>
      <c r="G57" s="767"/>
      <c r="H57" s="767"/>
      <c r="I57" s="767"/>
      <c r="J57" s="767"/>
      <c r="K57" s="767"/>
      <c r="L57" s="767"/>
      <c r="M57" s="767"/>
      <c r="N57" s="767"/>
    </row>
    <row r="58" spans="1:14" x14ac:dyDescent="0.3">
      <c r="A58" s="767"/>
      <c r="B58" s="767"/>
      <c r="C58" s="767"/>
      <c r="D58" s="767"/>
      <c r="E58" s="767"/>
      <c r="F58" s="767"/>
      <c r="G58" s="767"/>
      <c r="H58" s="767"/>
      <c r="I58" s="767"/>
      <c r="J58" s="767"/>
      <c r="K58" s="767"/>
      <c r="L58" s="767"/>
      <c r="M58" s="767"/>
      <c r="N58" s="767"/>
    </row>
    <row r="59" spans="1:14" x14ac:dyDescent="0.3">
      <c r="A59" s="767"/>
      <c r="B59" s="767"/>
      <c r="C59" s="767"/>
      <c r="D59" s="767"/>
      <c r="E59" s="767"/>
      <c r="F59" s="767"/>
      <c r="G59" s="767"/>
      <c r="H59" s="767"/>
      <c r="I59" s="767"/>
      <c r="J59" s="767"/>
      <c r="K59" s="767"/>
      <c r="L59" s="767"/>
      <c r="M59" s="767"/>
      <c r="N59" s="767"/>
    </row>
    <row r="60" spans="1:14" x14ac:dyDescent="0.3">
      <c r="A60" s="767"/>
      <c r="B60" s="767"/>
      <c r="C60" s="767"/>
      <c r="D60" s="767"/>
      <c r="E60" s="767"/>
      <c r="F60" s="767"/>
      <c r="G60" s="767"/>
      <c r="H60" s="767"/>
      <c r="I60" s="767"/>
      <c r="J60" s="767"/>
      <c r="K60" s="767"/>
      <c r="L60" s="767"/>
      <c r="M60" s="767"/>
      <c r="N60" s="767"/>
    </row>
    <row r="61" spans="1:14" x14ac:dyDescent="0.3">
      <c r="A61" s="767"/>
      <c r="B61" s="767"/>
      <c r="C61" s="767"/>
      <c r="D61" s="767"/>
      <c r="E61" s="767"/>
      <c r="F61" s="767"/>
      <c r="G61" s="767"/>
      <c r="H61" s="767"/>
      <c r="I61" s="767"/>
      <c r="J61" s="767"/>
      <c r="K61" s="767"/>
      <c r="L61" s="767"/>
      <c r="M61" s="767"/>
      <c r="N61" s="767"/>
    </row>
    <row r="62" spans="1:14" x14ac:dyDescent="0.3">
      <c r="A62" s="767"/>
      <c r="B62" s="767"/>
      <c r="C62" s="767"/>
      <c r="D62" s="767"/>
      <c r="E62" s="767"/>
      <c r="F62" s="767"/>
      <c r="G62" s="767"/>
      <c r="H62" s="767"/>
      <c r="I62" s="767"/>
      <c r="J62" s="767"/>
      <c r="K62" s="767"/>
      <c r="L62" s="767"/>
      <c r="M62" s="767"/>
      <c r="N62" s="767"/>
    </row>
    <row r="63" spans="1:14" x14ac:dyDescent="0.3">
      <c r="A63" s="767"/>
      <c r="B63" s="767"/>
      <c r="C63" s="767"/>
      <c r="D63" s="767"/>
      <c r="E63" s="767"/>
      <c r="F63" s="767"/>
      <c r="G63" s="767"/>
      <c r="H63" s="767"/>
      <c r="I63" s="767"/>
      <c r="J63" s="767"/>
      <c r="K63" s="767"/>
      <c r="L63" s="767"/>
      <c r="M63" s="767"/>
      <c r="N63" s="767"/>
    </row>
    <row r="64" spans="1:14" x14ac:dyDescent="0.3">
      <c r="A64" s="767"/>
      <c r="B64" s="767"/>
      <c r="C64" s="767"/>
      <c r="D64" s="767"/>
      <c r="E64" s="767"/>
      <c r="F64" s="767"/>
      <c r="G64" s="767"/>
      <c r="H64" s="767"/>
      <c r="I64" s="767"/>
      <c r="J64" s="767"/>
      <c r="K64" s="767"/>
      <c r="L64" s="767"/>
      <c r="M64" s="767"/>
      <c r="N64" s="767"/>
    </row>
    <row r="65" spans="1:14" x14ac:dyDescent="0.3">
      <c r="A65" s="767"/>
      <c r="B65" s="767"/>
      <c r="C65" s="767"/>
      <c r="D65" s="767"/>
      <c r="E65" s="767"/>
      <c r="F65" s="767"/>
      <c r="G65" s="767"/>
      <c r="H65" s="767"/>
      <c r="I65" s="767"/>
      <c r="J65" s="767"/>
      <c r="K65" s="767"/>
      <c r="L65" s="767"/>
      <c r="M65" s="767"/>
      <c r="N65" s="767"/>
    </row>
    <row r="66" spans="1:14" x14ac:dyDescent="0.3">
      <c r="A66" s="767"/>
      <c r="B66" s="767"/>
      <c r="C66" s="767"/>
      <c r="D66" s="767"/>
      <c r="E66" s="767"/>
      <c r="F66" s="767"/>
      <c r="G66" s="767"/>
      <c r="H66" s="767"/>
      <c r="I66" s="767"/>
      <c r="J66" s="767"/>
      <c r="K66" s="767"/>
      <c r="L66" s="767"/>
      <c r="M66" s="767"/>
      <c r="N66" s="767"/>
    </row>
    <row r="67" spans="1:14" x14ac:dyDescent="0.3">
      <c r="A67" s="767"/>
      <c r="B67" s="767"/>
      <c r="C67" s="767"/>
      <c r="D67" s="767"/>
      <c r="E67" s="767"/>
      <c r="F67" s="767"/>
      <c r="G67" s="767"/>
      <c r="H67" s="767"/>
      <c r="I67" s="767"/>
      <c r="J67" s="767"/>
      <c r="K67" s="767"/>
      <c r="L67" s="767"/>
      <c r="M67" s="767"/>
      <c r="N67" s="767"/>
    </row>
    <row r="68" spans="1:14" x14ac:dyDescent="0.3">
      <c r="A68" s="767"/>
      <c r="B68" s="767"/>
      <c r="C68" s="767"/>
      <c r="D68" s="767"/>
      <c r="E68" s="767"/>
      <c r="F68" s="767"/>
      <c r="G68" s="767"/>
      <c r="H68" s="767"/>
      <c r="I68" s="767"/>
      <c r="J68" s="767"/>
      <c r="K68" s="767"/>
      <c r="L68" s="767"/>
      <c r="M68" s="767"/>
      <c r="N68" s="767"/>
    </row>
    <row r="69" spans="1:14" x14ac:dyDescent="0.3">
      <c r="A69" s="767"/>
      <c r="B69" s="767"/>
      <c r="C69" s="767"/>
      <c r="D69" s="767"/>
      <c r="E69" s="767"/>
      <c r="F69" s="767"/>
      <c r="G69" s="767"/>
      <c r="H69" s="767"/>
      <c r="I69" s="767"/>
      <c r="J69" s="767"/>
      <c r="K69" s="767"/>
      <c r="L69" s="767"/>
      <c r="M69" s="767"/>
      <c r="N69" s="767"/>
    </row>
    <row r="70" spans="1:14" x14ac:dyDescent="0.3">
      <c r="A70" s="767"/>
      <c r="B70" s="767"/>
      <c r="C70" s="767"/>
      <c r="D70" s="767"/>
      <c r="E70" s="767"/>
      <c r="F70" s="767"/>
      <c r="G70" s="767"/>
      <c r="H70" s="767"/>
      <c r="I70" s="767"/>
      <c r="J70" s="767"/>
      <c r="K70" s="767"/>
      <c r="L70" s="767"/>
      <c r="M70" s="767"/>
      <c r="N70" s="767"/>
    </row>
    <row r="71" spans="1:14" x14ac:dyDescent="0.3">
      <c r="A71" s="767"/>
      <c r="B71" s="767"/>
      <c r="C71" s="767"/>
      <c r="D71" s="767"/>
      <c r="E71" s="767"/>
      <c r="F71" s="767"/>
      <c r="G71" s="767"/>
      <c r="H71" s="767"/>
      <c r="I71" s="767"/>
      <c r="J71" s="767"/>
      <c r="K71" s="767"/>
      <c r="L71" s="767"/>
      <c r="M71" s="767"/>
      <c r="N71" s="767"/>
    </row>
    <row r="72" spans="1:14" x14ac:dyDescent="0.3">
      <c r="A72" s="767"/>
      <c r="B72" s="767"/>
      <c r="C72" s="767"/>
      <c r="D72" s="767"/>
      <c r="E72" s="767"/>
      <c r="F72" s="767"/>
      <c r="G72" s="767"/>
      <c r="H72" s="767"/>
      <c r="I72" s="767"/>
      <c r="J72" s="767"/>
      <c r="K72" s="767"/>
      <c r="L72" s="767"/>
      <c r="M72" s="767"/>
      <c r="N72" s="767"/>
    </row>
    <row r="73" spans="1:14" x14ac:dyDescent="0.3">
      <c r="A73" s="767"/>
      <c r="B73" s="767"/>
      <c r="C73" s="767"/>
      <c r="D73" s="767"/>
      <c r="E73" s="767"/>
      <c r="F73" s="767"/>
      <c r="G73" s="767"/>
      <c r="H73" s="767"/>
      <c r="I73" s="767"/>
      <c r="J73" s="767"/>
      <c r="K73" s="767"/>
      <c r="L73" s="767"/>
      <c r="M73" s="767"/>
      <c r="N73" s="767"/>
    </row>
    <row r="74" spans="1:14" x14ac:dyDescent="0.3">
      <c r="A74" s="767"/>
      <c r="B74" s="767"/>
      <c r="C74" s="767"/>
      <c r="D74" s="767"/>
      <c r="E74" s="767"/>
      <c r="F74" s="767"/>
      <c r="G74" s="767"/>
      <c r="H74" s="767"/>
      <c r="I74" s="767"/>
      <c r="J74" s="767"/>
      <c r="K74" s="767"/>
      <c r="L74" s="767"/>
      <c r="M74" s="767"/>
      <c r="N74" s="767"/>
    </row>
    <row r="75" spans="1:14" x14ac:dyDescent="0.3">
      <c r="A75" s="767"/>
      <c r="B75" s="767"/>
      <c r="C75" s="767"/>
      <c r="D75" s="767"/>
      <c r="E75" s="767"/>
      <c r="F75" s="767"/>
      <c r="G75" s="767"/>
      <c r="H75" s="767"/>
      <c r="I75" s="767"/>
      <c r="J75" s="767"/>
      <c r="K75" s="767"/>
      <c r="L75" s="767"/>
      <c r="M75" s="767"/>
      <c r="N75" s="767"/>
    </row>
    <row r="76" spans="1:14" x14ac:dyDescent="0.3">
      <c r="A76" s="767"/>
      <c r="B76" s="767"/>
      <c r="C76" s="767"/>
      <c r="D76" s="767"/>
      <c r="E76" s="767"/>
      <c r="F76" s="767"/>
      <c r="G76" s="767"/>
      <c r="H76" s="767"/>
      <c r="I76" s="767"/>
      <c r="J76" s="767"/>
      <c r="K76" s="767"/>
      <c r="L76" s="767"/>
      <c r="M76" s="767"/>
      <c r="N76" s="767"/>
    </row>
    <row r="77" spans="1:14" x14ac:dyDescent="0.3">
      <c r="A77" s="767"/>
      <c r="B77" s="767"/>
      <c r="C77" s="767"/>
      <c r="D77" s="767"/>
      <c r="E77" s="767"/>
      <c r="F77" s="767"/>
      <c r="G77" s="767"/>
      <c r="H77" s="767"/>
      <c r="I77" s="767"/>
      <c r="J77" s="767"/>
      <c r="K77" s="767"/>
      <c r="L77" s="767"/>
      <c r="M77" s="767"/>
      <c r="N77" s="767"/>
    </row>
    <row r="78" spans="1:14" x14ac:dyDescent="0.3">
      <c r="A78" s="767"/>
      <c r="B78" s="767"/>
      <c r="C78" s="767"/>
      <c r="D78" s="767"/>
      <c r="E78" s="767"/>
      <c r="F78" s="767"/>
      <c r="G78" s="767"/>
      <c r="H78" s="767"/>
      <c r="I78" s="767"/>
      <c r="J78" s="767"/>
      <c r="K78" s="767"/>
      <c r="L78" s="767"/>
      <c r="M78" s="767"/>
      <c r="N78" s="767"/>
    </row>
    <row r="79" spans="1:14" x14ac:dyDescent="0.3">
      <c r="A79" s="767"/>
      <c r="B79" s="767"/>
      <c r="C79" s="767"/>
      <c r="D79" s="767"/>
      <c r="E79" s="767"/>
      <c r="F79" s="767"/>
      <c r="G79" s="767"/>
      <c r="H79" s="767"/>
      <c r="I79" s="767"/>
      <c r="J79" s="767"/>
      <c r="K79" s="767"/>
      <c r="L79" s="767"/>
      <c r="M79" s="767"/>
      <c r="N79" s="767"/>
    </row>
    <row r="80" spans="1:14" x14ac:dyDescent="0.3">
      <c r="A80" s="767"/>
      <c r="B80" s="767"/>
      <c r="C80" s="767"/>
      <c r="D80" s="767"/>
      <c r="E80" s="767"/>
      <c r="F80" s="767"/>
      <c r="G80" s="767"/>
      <c r="H80" s="767"/>
      <c r="I80" s="767"/>
      <c r="J80" s="767"/>
      <c r="K80" s="767"/>
      <c r="L80" s="767"/>
      <c r="M80" s="767"/>
      <c r="N80" s="767"/>
    </row>
    <row r="81" spans="1:14" x14ac:dyDescent="0.3">
      <c r="A81" s="767"/>
      <c r="B81" s="767"/>
      <c r="C81" s="767"/>
      <c r="D81" s="767"/>
      <c r="E81" s="767"/>
      <c r="F81" s="767"/>
      <c r="G81" s="767"/>
      <c r="H81" s="767"/>
      <c r="I81" s="767"/>
      <c r="J81" s="767"/>
      <c r="K81" s="767"/>
      <c r="L81" s="767"/>
      <c r="M81" s="767"/>
      <c r="N81" s="767"/>
    </row>
    <row r="82" spans="1:14" x14ac:dyDescent="0.3">
      <c r="A82" s="767"/>
      <c r="B82" s="767"/>
      <c r="C82" s="767"/>
      <c r="D82" s="767"/>
      <c r="E82" s="767"/>
      <c r="F82" s="767"/>
      <c r="G82" s="767"/>
      <c r="H82" s="767"/>
      <c r="I82" s="767"/>
      <c r="J82" s="767"/>
      <c r="K82" s="767"/>
      <c r="L82" s="767"/>
      <c r="M82" s="767"/>
      <c r="N82" s="767"/>
    </row>
    <row r="83" spans="1:14" x14ac:dyDescent="0.3">
      <c r="A83" s="767"/>
      <c r="B83" s="767"/>
      <c r="C83" s="767"/>
      <c r="D83" s="767"/>
      <c r="E83" s="767"/>
      <c r="F83" s="767"/>
      <c r="G83" s="767"/>
      <c r="H83" s="767"/>
      <c r="I83" s="767"/>
      <c r="J83" s="767"/>
      <c r="K83" s="767"/>
      <c r="L83" s="767"/>
      <c r="M83" s="767"/>
      <c r="N83" s="767"/>
    </row>
    <row r="84" spans="1:14" x14ac:dyDescent="0.3">
      <c r="A84" s="767"/>
      <c r="B84" s="767"/>
      <c r="C84" s="767"/>
      <c r="D84" s="767"/>
      <c r="E84" s="767"/>
      <c r="F84" s="767"/>
      <c r="G84" s="767"/>
      <c r="H84" s="767"/>
      <c r="I84" s="767"/>
      <c r="J84" s="767"/>
      <c r="K84" s="767"/>
      <c r="L84" s="767"/>
      <c r="M84" s="767"/>
      <c r="N84" s="767"/>
    </row>
    <row r="85" spans="1:14" x14ac:dyDescent="0.3">
      <c r="A85" s="767"/>
      <c r="B85" s="767"/>
      <c r="C85" s="767"/>
      <c r="D85" s="767"/>
      <c r="E85" s="767"/>
      <c r="F85" s="767"/>
      <c r="G85" s="767"/>
      <c r="H85" s="767"/>
      <c r="I85" s="767"/>
      <c r="J85" s="767"/>
      <c r="K85" s="767"/>
      <c r="L85" s="767"/>
      <c r="M85" s="767"/>
      <c r="N85" s="767"/>
    </row>
    <row r="86" spans="1:14" x14ac:dyDescent="0.3">
      <c r="A86" s="767"/>
      <c r="B86" s="767"/>
      <c r="C86" s="767"/>
      <c r="D86" s="767"/>
      <c r="E86" s="767"/>
      <c r="F86" s="767"/>
      <c r="G86" s="767"/>
      <c r="H86" s="767"/>
      <c r="I86" s="767"/>
      <c r="J86" s="767"/>
      <c r="K86" s="767"/>
      <c r="L86" s="767"/>
      <c r="M86" s="767"/>
      <c r="N86" s="767"/>
    </row>
    <row r="87" spans="1:14" x14ac:dyDescent="0.3">
      <c r="A87" s="767"/>
      <c r="B87" s="767"/>
      <c r="C87" s="767"/>
      <c r="D87" s="767"/>
      <c r="E87" s="767"/>
      <c r="F87" s="767"/>
      <c r="G87" s="767"/>
      <c r="H87" s="767"/>
      <c r="I87" s="767"/>
      <c r="J87" s="767"/>
      <c r="K87" s="767"/>
      <c r="L87" s="767"/>
      <c r="M87" s="767"/>
      <c r="N87" s="767"/>
    </row>
    <row r="88" spans="1:14" x14ac:dyDescent="0.3">
      <c r="A88" s="767"/>
      <c r="B88" s="767"/>
      <c r="C88" s="767"/>
      <c r="D88" s="767"/>
      <c r="E88" s="767"/>
      <c r="F88" s="767"/>
      <c r="G88" s="767"/>
      <c r="H88" s="767"/>
      <c r="I88" s="767"/>
      <c r="J88" s="767"/>
      <c r="K88" s="767"/>
      <c r="L88" s="767"/>
      <c r="M88" s="767"/>
      <c r="N88" s="767"/>
    </row>
    <row r="89" spans="1:14" x14ac:dyDescent="0.3">
      <c r="A89" s="767"/>
      <c r="B89" s="767"/>
      <c r="C89" s="767"/>
      <c r="D89" s="767"/>
      <c r="E89" s="767"/>
      <c r="F89" s="767"/>
      <c r="G89" s="767"/>
      <c r="H89" s="767"/>
      <c r="I89" s="767"/>
      <c r="J89" s="767"/>
      <c r="K89" s="767"/>
      <c r="L89" s="767"/>
      <c r="M89" s="767"/>
      <c r="N89" s="767"/>
    </row>
    <row r="90" spans="1:14" x14ac:dyDescent="0.3">
      <c r="A90" s="767"/>
      <c r="B90" s="767"/>
      <c r="C90" s="767"/>
      <c r="D90" s="767"/>
      <c r="E90" s="767"/>
      <c r="F90" s="767"/>
      <c r="G90" s="767"/>
      <c r="H90" s="767"/>
      <c r="I90" s="767"/>
      <c r="J90" s="767"/>
      <c r="K90" s="767"/>
      <c r="L90" s="767"/>
      <c r="M90" s="767"/>
      <c r="N90" s="767"/>
    </row>
    <row r="91" spans="1:14" x14ac:dyDescent="0.3">
      <c r="A91" s="767"/>
      <c r="B91" s="767"/>
      <c r="C91" s="767"/>
      <c r="D91" s="767"/>
      <c r="E91" s="767"/>
      <c r="F91" s="767"/>
      <c r="G91" s="767"/>
      <c r="H91" s="767"/>
      <c r="I91" s="767"/>
      <c r="J91" s="767"/>
      <c r="K91" s="767"/>
      <c r="L91" s="767"/>
      <c r="M91" s="767"/>
      <c r="N91" s="767"/>
    </row>
    <row r="92" spans="1:14" x14ac:dyDescent="0.3">
      <c r="A92" s="767"/>
      <c r="B92" s="767"/>
      <c r="C92" s="767"/>
      <c r="D92" s="767"/>
      <c r="E92" s="767"/>
      <c r="F92" s="767"/>
      <c r="G92" s="767"/>
      <c r="H92" s="767"/>
      <c r="I92" s="767"/>
      <c r="J92" s="767"/>
      <c r="K92" s="767"/>
      <c r="L92" s="767"/>
      <c r="M92" s="767"/>
      <c r="N92" s="767"/>
    </row>
    <row r="93" spans="1:14" x14ac:dyDescent="0.3">
      <c r="A93" s="767"/>
      <c r="B93" s="767"/>
      <c r="C93" s="767"/>
      <c r="D93" s="767"/>
      <c r="E93" s="767"/>
      <c r="F93" s="767"/>
      <c r="G93" s="767"/>
      <c r="H93" s="767"/>
      <c r="I93" s="767"/>
      <c r="J93" s="767"/>
      <c r="K93" s="767"/>
      <c r="L93" s="767"/>
      <c r="M93" s="767"/>
      <c r="N93" s="767"/>
    </row>
    <row r="94" spans="1:14" x14ac:dyDescent="0.3">
      <c r="A94" s="767"/>
      <c r="B94" s="767"/>
      <c r="C94" s="767"/>
      <c r="D94" s="767"/>
      <c r="E94" s="767"/>
      <c r="F94" s="767"/>
      <c r="G94" s="767"/>
      <c r="H94" s="767"/>
      <c r="I94" s="767"/>
      <c r="J94" s="767"/>
      <c r="K94" s="767"/>
      <c r="L94" s="767"/>
      <c r="M94" s="767"/>
      <c r="N94" s="767"/>
    </row>
    <row r="95" spans="1:14" x14ac:dyDescent="0.3">
      <c r="A95" s="767"/>
      <c r="B95" s="767"/>
      <c r="C95" s="767"/>
      <c r="D95" s="767"/>
      <c r="E95" s="767"/>
      <c r="F95" s="767"/>
      <c r="G95" s="767"/>
      <c r="H95" s="767"/>
      <c r="I95" s="767"/>
      <c r="J95" s="767"/>
      <c r="K95" s="767"/>
      <c r="L95" s="767"/>
      <c r="M95" s="767"/>
      <c r="N95" s="767"/>
    </row>
    <row r="96" spans="1:14" x14ac:dyDescent="0.3">
      <c r="A96" s="767"/>
      <c r="B96" s="767"/>
      <c r="C96" s="767"/>
      <c r="D96" s="767"/>
      <c r="E96" s="767"/>
      <c r="F96" s="767"/>
      <c r="G96" s="767"/>
      <c r="H96" s="767"/>
      <c r="I96" s="767"/>
      <c r="J96" s="767"/>
      <c r="K96" s="767"/>
      <c r="L96" s="767"/>
      <c r="M96" s="767"/>
      <c r="N96" s="767"/>
    </row>
    <row r="97" spans="1:14" x14ac:dyDescent="0.3">
      <c r="A97" s="767"/>
      <c r="B97" s="767"/>
      <c r="C97" s="767"/>
      <c r="D97" s="767"/>
      <c r="E97" s="767"/>
      <c r="F97" s="767"/>
      <c r="G97" s="767"/>
      <c r="H97" s="767"/>
      <c r="I97" s="767"/>
      <c r="J97" s="767"/>
      <c r="K97" s="767"/>
      <c r="L97" s="767"/>
      <c r="M97" s="767"/>
      <c r="N97" s="767"/>
    </row>
    <row r="98" spans="1:14" x14ac:dyDescent="0.3">
      <c r="A98" s="767"/>
      <c r="B98" s="767"/>
      <c r="C98" s="767"/>
      <c r="D98" s="767"/>
      <c r="E98" s="767"/>
      <c r="F98" s="767"/>
      <c r="G98" s="767"/>
      <c r="H98" s="767"/>
      <c r="I98" s="767"/>
      <c r="J98" s="767"/>
      <c r="K98" s="767"/>
      <c r="L98" s="767"/>
      <c r="M98" s="767"/>
      <c r="N98" s="767"/>
    </row>
    <row r="99" spans="1:14" x14ac:dyDescent="0.3">
      <c r="A99" s="767"/>
      <c r="B99" s="767"/>
      <c r="C99" s="767"/>
      <c r="D99" s="767"/>
      <c r="E99" s="767"/>
      <c r="F99" s="767"/>
      <c r="G99" s="767"/>
      <c r="H99" s="767"/>
      <c r="I99" s="767"/>
      <c r="J99" s="767"/>
      <c r="K99" s="767"/>
      <c r="L99" s="767"/>
      <c r="M99" s="767"/>
      <c r="N99" s="767"/>
    </row>
    <row r="100" spans="1:14" x14ac:dyDescent="0.3">
      <c r="A100" s="767"/>
      <c r="B100" s="767"/>
      <c r="C100" s="767"/>
      <c r="D100" s="767"/>
      <c r="E100" s="767"/>
      <c r="F100" s="767"/>
      <c r="G100" s="767"/>
      <c r="H100" s="767"/>
      <c r="I100" s="767"/>
      <c r="J100" s="767"/>
      <c r="K100" s="767"/>
      <c r="L100" s="767"/>
      <c r="M100" s="767"/>
      <c r="N100" s="767"/>
    </row>
    <row r="101" spans="1:14" x14ac:dyDescent="0.3">
      <c r="A101" s="767"/>
      <c r="B101" s="767"/>
      <c r="C101" s="767"/>
      <c r="D101" s="767"/>
      <c r="E101" s="767"/>
      <c r="F101" s="767"/>
      <c r="G101" s="767"/>
      <c r="H101" s="767"/>
      <c r="I101" s="767"/>
      <c r="J101" s="767"/>
      <c r="K101" s="767"/>
      <c r="L101" s="767"/>
      <c r="M101" s="767"/>
      <c r="N101" s="767"/>
    </row>
    <row r="102" spans="1:14" x14ac:dyDescent="0.3">
      <c r="A102" s="767"/>
      <c r="B102" s="767"/>
      <c r="C102" s="767"/>
      <c r="D102" s="767"/>
      <c r="E102" s="767"/>
      <c r="F102" s="767"/>
      <c r="G102" s="767"/>
      <c r="H102" s="767"/>
      <c r="I102" s="767"/>
      <c r="J102" s="767"/>
      <c r="K102" s="767"/>
      <c r="L102" s="767"/>
      <c r="M102" s="767"/>
      <c r="N102" s="767"/>
    </row>
    <row r="103" spans="1:14" x14ac:dyDescent="0.3">
      <c r="A103" s="767"/>
      <c r="B103" s="767"/>
      <c r="C103" s="767"/>
      <c r="D103" s="767"/>
      <c r="E103" s="767"/>
      <c r="F103" s="767"/>
      <c r="G103" s="767"/>
      <c r="H103" s="767"/>
      <c r="I103" s="767"/>
      <c r="J103" s="767"/>
      <c r="K103" s="767"/>
      <c r="L103" s="767"/>
      <c r="M103" s="767"/>
      <c r="N103" s="767"/>
    </row>
    <row r="104" spans="1:14" x14ac:dyDescent="0.3">
      <c r="A104" s="767"/>
      <c r="B104" s="767"/>
      <c r="C104" s="767"/>
      <c r="D104" s="767"/>
      <c r="E104" s="767"/>
      <c r="F104" s="767"/>
      <c r="G104" s="767"/>
      <c r="H104" s="767"/>
      <c r="I104" s="767"/>
      <c r="J104" s="767"/>
      <c r="K104" s="767"/>
      <c r="L104" s="767"/>
      <c r="M104" s="767"/>
      <c r="N104" s="767"/>
    </row>
    <row r="105" spans="1:14" x14ac:dyDescent="0.3">
      <c r="A105" s="767"/>
      <c r="B105" s="767"/>
      <c r="C105" s="767"/>
      <c r="D105" s="767"/>
      <c r="E105" s="767"/>
      <c r="F105" s="767"/>
      <c r="G105" s="767"/>
      <c r="H105" s="767"/>
      <c r="I105" s="767"/>
      <c r="J105" s="767"/>
      <c r="K105" s="767"/>
      <c r="L105" s="767"/>
      <c r="M105" s="767"/>
      <c r="N105" s="767"/>
    </row>
    <row r="106" spans="1:14" x14ac:dyDescent="0.3">
      <c r="A106" s="767"/>
      <c r="B106" s="767"/>
      <c r="C106" s="767"/>
      <c r="D106" s="767"/>
      <c r="E106" s="767"/>
      <c r="F106" s="767"/>
      <c r="G106" s="767"/>
      <c r="H106" s="767"/>
      <c r="I106" s="767"/>
      <c r="J106" s="767"/>
      <c r="K106" s="767"/>
      <c r="L106" s="767"/>
      <c r="M106" s="767"/>
      <c r="N106" s="767"/>
    </row>
    <row r="107" spans="1:14" x14ac:dyDescent="0.3">
      <c r="A107" s="767"/>
      <c r="B107" s="767"/>
      <c r="C107" s="767"/>
      <c r="D107" s="767"/>
      <c r="E107" s="767"/>
      <c r="F107" s="767"/>
      <c r="G107" s="767"/>
      <c r="H107" s="767"/>
      <c r="I107" s="767"/>
      <c r="J107" s="767"/>
      <c r="K107" s="767"/>
      <c r="L107" s="767"/>
      <c r="M107" s="767"/>
      <c r="N107" s="767"/>
    </row>
    <row r="108" spans="1:14" x14ac:dyDescent="0.3">
      <c r="A108" s="767"/>
      <c r="B108" s="767"/>
      <c r="C108" s="767"/>
      <c r="D108" s="767"/>
      <c r="E108" s="767"/>
      <c r="F108" s="767"/>
      <c r="G108" s="767"/>
      <c r="H108" s="767"/>
      <c r="I108" s="767"/>
      <c r="J108" s="767"/>
      <c r="K108" s="767"/>
      <c r="L108" s="767"/>
      <c r="M108" s="767"/>
      <c r="N108" s="767"/>
    </row>
    <row r="109" spans="1:14" x14ac:dyDescent="0.3">
      <c r="A109" s="767"/>
      <c r="B109" s="767"/>
      <c r="C109" s="767"/>
      <c r="D109" s="767"/>
      <c r="E109" s="767"/>
      <c r="F109" s="767"/>
      <c r="G109" s="767"/>
      <c r="H109" s="767"/>
      <c r="I109" s="767"/>
      <c r="J109" s="767"/>
      <c r="K109" s="767"/>
      <c r="L109" s="767"/>
      <c r="M109" s="767"/>
      <c r="N109" s="767"/>
    </row>
    <row r="110" spans="1:14" x14ac:dyDescent="0.3">
      <c r="A110" s="767"/>
      <c r="B110" s="767"/>
      <c r="C110" s="767"/>
      <c r="D110" s="767"/>
      <c r="E110" s="767"/>
      <c r="F110" s="767"/>
      <c r="G110" s="767"/>
      <c r="H110" s="767"/>
      <c r="I110" s="767"/>
      <c r="J110" s="767"/>
      <c r="K110" s="767"/>
      <c r="L110" s="767"/>
      <c r="M110" s="767"/>
      <c r="N110" s="767"/>
    </row>
    <row r="111" spans="1:14" x14ac:dyDescent="0.3">
      <c r="A111" s="767"/>
      <c r="B111" s="767"/>
      <c r="C111" s="767"/>
      <c r="D111" s="767"/>
      <c r="E111" s="767"/>
      <c r="F111" s="767"/>
      <c r="G111" s="767"/>
      <c r="H111" s="767"/>
      <c r="I111" s="767"/>
      <c r="J111" s="767"/>
      <c r="K111" s="767"/>
      <c r="L111" s="767"/>
      <c r="M111" s="767"/>
      <c r="N111" s="767"/>
    </row>
    <row r="112" spans="1:14" x14ac:dyDescent="0.3">
      <c r="A112" s="767"/>
      <c r="B112" s="767"/>
      <c r="C112" s="767"/>
      <c r="D112" s="767"/>
      <c r="E112" s="767"/>
      <c r="F112" s="767"/>
      <c r="G112" s="767"/>
      <c r="H112" s="767"/>
      <c r="I112" s="767"/>
      <c r="J112" s="767"/>
      <c r="K112" s="767"/>
      <c r="L112" s="767"/>
      <c r="M112" s="767"/>
      <c r="N112" s="767"/>
    </row>
    <row r="113" spans="1:14" x14ac:dyDescent="0.3">
      <c r="A113" s="767"/>
      <c r="B113" s="767"/>
      <c r="C113" s="767"/>
      <c r="D113" s="767"/>
      <c r="E113" s="767"/>
      <c r="F113" s="767"/>
      <c r="G113" s="767"/>
      <c r="H113" s="767"/>
      <c r="I113" s="767"/>
      <c r="J113" s="767"/>
      <c r="K113" s="767"/>
      <c r="L113" s="767"/>
      <c r="M113" s="767"/>
      <c r="N113" s="767"/>
    </row>
    <row r="114" spans="1:14" x14ac:dyDescent="0.3">
      <c r="A114" s="767"/>
      <c r="B114" s="767"/>
      <c r="C114" s="767"/>
      <c r="D114" s="767"/>
      <c r="E114" s="767"/>
      <c r="F114" s="767"/>
      <c r="G114" s="767"/>
      <c r="H114" s="767"/>
      <c r="I114" s="767"/>
      <c r="J114" s="767"/>
      <c r="K114" s="767"/>
      <c r="L114" s="767"/>
      <c r="M114" s="767"/>
      <c r="N114" s="767"/>
    </row>
    <row r="115" spans="1:14" x14ac:dyDescent="0.3">
      <c r="A115" s="767"/>
      <c r="B115" s="767"/>
      <c r="C115" s="767"/>
      <c r="D115" s="767"/>
      <c r="E115" s="767"/>
      <c r="F115" s="767"/>
      <c r="G115" s="767"/>
      <c r="H115" s="767"/>
      <c r="I115" s="767"/>
      <c r="J115" s="767"/>
      <c r="K115" s="767"/>
      <c r="L115" s="767"/>
      <c r="M115" s="767"/>
      <c r="N115" s="767"/>
    </row>
    <row r="116" spans="1:14" x14ac:dyDescent="0.3">
      <c r="A116" s="767"/>
      <c r="B116" s="767"/>
      <c r="C116" s="767"/>
      <c r="D116" s="767"/>
      <c r="E116" s="767"/>
      <c r="F116" s="767"/>
      <c r="G116" s="767"/>
      <c r="H116" s="767"/>
      <c r="I116" s="767"/>
      <c r="J116" s="767"/>
      <c r="K116" s="767"/>
      <c r="L116" s="767"/>
      <c r="M116" s="767"/>
      <c r="N116" s="767"/>
    </row>
    <row r="117" spans="1:14" x14ac:dyDescent="0.3">
      <c r="A117" s="767"/>
      <c r="B117" s="767"/>
      <c r="C117" s="767"/>
      <c r="D117" s="767"/>
      <c r="E117" s="767"/>
      <c r="F117" s="767"/>
      <c r="G117" s="767"/>
      <c r="H117" s="767"/>
      <c r="I117" s="767"/>
      <c r="J117" s="767"/>
      <c r="K117" s="767"/>
      <c r="L117" s="767"/>
      <c r="M117" s="767"/>
      <c r="N117" s="767"/>
    </row>
    <row r="118" spans="1:14" x14ac:dyDescent="0.3">
      <c r="A118" s="767"/>
      <c r="B118" s="767"/>
      <c r="C118" s="767"/>
      <c r="D118" s="767"/>
      <c r="E118" s="767"/>
      <c r="F118" s="767"/>
      <c r="G118" s="767"/>
      <c r="H118" s="767"/>
      <c r="I118" s="767"/>
      <c r="J118" s="767"/>
      <c r="K118" s="767"/>
      <c r="L118" s="767"/>
      <c r="M118" s="767"/>
      <c r="N118" s="767"/>
    </row>
    <row r="119" spans="1:14" x14ac:dyDescent="0.3">
      <c r="A119" s="767"/>
      <c r="B119" s="767"/>
      <c r="C119" s="767"/>
      <c r="D119" s="767"/>
      <c r="E119" s="767"/>
      <c r="F119" s="767"/>
      <c r="G119" s="767"/>
      <c r="H119" s="767"/>
      <c r="I119" s="767"/>
      <c r="J119" s="767"/>
      <c r="K119" s="767"/>
      <c r="L119" s="767"/>
      <c r="M119" s="767"/>
      <c r="N119" s="767"/>
    </row>
    <row r="120" spans="1:14" x14ac:dyDescent="0.3">
      <c r="A120" s="767"/>
      <c r="B120" s="767"/>
      <c r="C120" s="767"/>
      <c r="D120" s="767"/>
      <c r="E120" s="767"/>
      <c r="F120" s="767"/>
      <c r="G120" s="767"/>
      <c r="H120" s="767"/>
      <c r="I120" s="767"/>
      <c r="J120" s="767"/>
      <c r="K120" s="767"/>
      <c r="L120" s="767"/>
      <c r="M120" s="767"/>
      <c r="N120" s="767"/>
    </row>
    <row r="121" spans="1:14" x14ac:dyDescent="0.3">
      <c r="A121" s="767"/>
      <c r="B121" s="767"/>
      <c r="C121" s="767"/>
      <c r="D121" s="767"/>
      <c r="E121" s="767"/>
      <c r="F121" s="767"/>
      <c r="G121" s="767"/>
      <c r="H121" s="767"/>
      <c r="I121" s="767"/>
      <c r="J121" s="767"/>
      <c r="K121" s="767"/>
      <c r="L121" s="767"/>
      <c r="M121" s="767"/>
      <c r="N121" s="767"/>
    </row>
    <row r="122" spans="1:14" x14ac:dyDescent="0.3">
      <c r="A122" s="767"/>
      <c r="B122" s="767"/>
      <c r="C122" s="767"/>
      <c r="D122" s="767"/>
      <c r="E122" s="767"/>
      <c r="F122" s="767"/>
      <c r="G122" s="767"/>
      <c r="H122" s="767"/>
      <c r="I122" s="767"/>
      <c r="J122" s="767"/>
      <c r="K122" s="767"/>
      <c r="L122" s="767"/>
      <c r="M122" s="767"/>
      <c r="N122" s="767"/>
    </row>
    <row r="123" spans="1:14" x14ac:dyDescent="0.3">
      <c r="A123" s="767"/>
      <c r="B123" s="767"/>
      <c r="C123" s="767"/>
      <c r="D123" s="767"/>
      <c r="E123" s="767"/>
      <c r="F123" s="767"/>
      <c r="G123" s="767"/>
      <c r="H123" s="767"/>
      <c r="I123" s="767"/>
      <c r="J123" s="767"/>
      <c r="K123" s="767"/>
      <c r="L123" s="767"/>
      <c r="M123" s="767"/>
      <c r="N123" s="767"/>
    </row>
    <row r="124" spans="1:14" x14ac:dyDescent="0.3">
      <c r="A124" s="767"/>
      <c r="B124" s="767"/>
      <c r="C124" s="767"/>
      <c r="D124" s="767"/>
      <c r="E124" s="767"/>
      <c r="F124" s="767"/>
      <c r="G124" s="767"/>
      <c r="H124" s="767"/>
      <c r="I124" s="767"/>
      <c r="J124" s="767"/>
      <c r="K124" s="767"/>
      <c r="L124" s="767"/>
      <c r="M124" s="767"/>
      <c r="N124" s="767"/>
    </row>
    <row r="125" spans="1:14" x14ac:dyDescent="0.3">
      <c r="A125" s="767"/>
      <c r="B125" s="767"/>
      <c r="C125" s="767"/>
      <c r="D125" s="767"/>
      <c r="E125" s="767"/>
      <c r="F125" s="767"/>
      <c r="G125" s="767"/>
      <c r="H125" s="767"/>
      <c r="I125" s="767"/>
      <c r="J125" s="767"/>
      <c r="K125" s="767"/>
      <c r="L125" s="767"/>
      <c r="M125" s="767"/>
      <c r="N125" s="767"/>
    </row>
    <row r="126" spans="1:14" x14ac:dyDescent="0.3">
      <c r="A126" s="767"/>
      <c r="B126" s="767"/>
      <c r="C126" s="767"/>
      <c r="D126" s="767"/>
      <c r="E126" s="767"/>
      <c r="F126" s="767"/>
      <c r="G126" s="767"/>
      <c r="H126" s="767"/>
      <c r="I126" s="767"/>
      <c r="J126" s="767"/>
      <c r="K126" s="767"/>
      <c r="L126" s="767"/>
      <c r="M126" s="767"/>
      <c r="N126" s="767"/>
    </row>
    <row r="127" spans="1:14" x14ac:dyDescent="0.3">
      <c r="A127" s="767"/>
      <c r="B127" s="767"/>
      <c r="C127" s="767"/>
      <c r="D127" s="767"/>
      <c r="E127" s="767"/>
      <c r="F127" s="767"/>
      <c r="G127" s="767"/>
      <c r="H127" s="767"/>
      <c r="I127" s="767"/>
      <c r="J127" s="767"/>
      <c r="K127" s="767"/>
      <c r="L127" s="767"/>
      <c r="M127" s="767"/>
      <c r="N127" s="767"/>
    </row>
    <row r="128" spans="1:14" x14ac:dyDescent="0.3">
      <c r="A128" s="767"/>
      <c r="B128" s="767"/>
      <c r="C128" s="767"/>
      <c r="D128" s="767"/>
      <c r="E128" s="767"/>
      <c r="F128" s="767"/>
      <c r="G128" s="767"/>
      <c r="H128" s="767"/>
      <c r="I128" s="767"/>
      <c r="J128" s="767"/>
      <c r="K128" s="767"/>
      <c r="L128" s="767"/>
      <c r="M128" s="767"/>
      <c r="N128" s="767"/>
    </row>
    <row r="129" spans="1:14" x14ac:dyDescent="0.3">
      <c r="A129" s="767"/>
      <c r="B129" s="767"/>
      <c r="C129" s="767"/>
      <c r="D129" s="767"/>
      <c r="E129" s="767"/>
      <c r="F129" s="767"/>
      <c r="G129" s="767"/>
      <c r="H129" s="767"/>
      <c r="I129" s="767"/>
      <c r="J129" s="767"/>
      <c r="K129" s="767"/>
      <c r="L129" s="767"/>
      <c r="M129" s="767"/>
      <c r="N129" s="767"/>
    </row>
    <row r="130" spans="1:14" x14ac:dyDescent="0.3">
      <c r="A130" s="767"/>
      <c r="B130" s="767"/>
      <c r="C130" s="767"/>
      <c r="D130" s="767"/>
      <c r="E130" s="767"/>
      <c r="F130" s="767"/>
      <c r="G130" s="767"/>
      <c r="H130" s="767"/>
      <c r="I130" s="767"/>
      <c r="J130" s="767"/>
      <c r="K130" s="767"/>
      <c r="L130" s="767"/>
      <c r="M130" s="767"/>
      <c r="N130" s="767"/>
    </row>
    <row r="131" spans="1:14" x14ac:dyDescent="0.3">
      <c r="A131" s="767"/>
      <c r="B131" s="767"/>
      <c r="C131" s="767"/>
      <c r="D131" s="767"/>
      <c r="E131" s="767"/>
      <c r="F131" s="767"/>
      <c r="G131" s="767"/>
      <c r="H131" s="767"/>
      <c r="I131" s="767"/>
      <c r="J131" s="767"/>
      <c r="K131" s="767"/>
      <c r="L131" s="767"/>
      <c r="M131" s="767"/>
      <c r="N131" s="767"/>
    </row>
    <row r="132" spans="1:14" x14ac:dyDescent="0.3">
      <c r="A132" s="767"/>
      <c r="B132" s="767"/>
      <c r="C132" s="767"/>
      <c r="D132" s="767"/>
      <c r="E132" s="767"/>
      <c r="F132" s="767"/>
      <c r="G132" s="767"/>
      <c r="H132" s="767"/>
      <c r="I132" s="767"/>
      <c r="J132" s="767"/>
      <c r="K132" s="767"/>
      <c r="L132" s="767"/>
      <c r="M132" s="767"/>
      <c r="N132" s="767"/>
    </row>
    <row r="133" spans="1:14" x14ac:dyDescent="0.3">
      <c r="A133" s="767"/>
      <c r="B133" s="767"/>
      <c r="C133" s="767"/>
      <c r="D133" s="767"/>
      <c r="E133" s="767"/>
      <c r="F133" s="767"/>
      <c r="G133" s="767"/>
      <c r="H133" s="767"/>
      <c r="I133" s="767"/>
      <c r="J133" s="767"/>
      <c r="K133" s="767"/>
      <c r="L133" s="767"/>
      <c r="M133" s="767"/>
      <c r="N133" s="767"/>
    </row>
    <row r="134" spans="1:14" x14ac:dyDescent="0.3">
      <c r="A134" s="767"/>
      <c r="B134" s="767"/>
      <c r="C134" s="767"/>
      <c r="D134" s="767"/>
      <c r="E134" s="767"/>
      <c r="F134" s="767"/>
      <c r="G134" s="767"/>
      <c r="H134" s="767"/>
      <c r="I134" s="767"/>
      <c r="J134" s="767"/>
      <c r="K134" s="767"/>
      <c r="L134" s="767"/>
      <c r="M134" s="767"/>
      <c r="N134" s="767"/>
    </row>
    <row r="135" spans="1:14" x14ac:dyDescent="0.3">
      <c r="A135" s="767"/>
      <c r="B135" s="767"/>
      <c r="C135" s="767"/>
      <c r="D135" s="767"/>
      <c r="E135" s="767"/>
      <c r="F135" s="767"/>
      <c r="G135" s="767"/>
      <c r="H135" s="767"/>
      <c r="I135" s="767"/>
      <c r="J135" s="767"/>
      <c r="K135" s="767"/>
      <c r="L135" s="767"/>
      <c r="M135" s="767"/>
      <c r="N135" s="767"/>
    </row>
    <row r="136" spans="1:14" x14ac:dyDescent="0.3">
      <c r="A136" s="767"/>
      <c r="B136" s="767"/>
      <c r="C136" s="767"/>
      <c r="D136" s="767"/>
      <c r="E136" s="767"/>
      <c r="F136" s="767"/>
      <c r="G136" s="767"/>
      <c r="H136" s="767"/>
      <c r="I136" s="767"/>
      <c r="J136" s="767"/>
      <c r="K136" s="767"/>
      <c r="L136" s="767"/>
      <c r="M136" s="767"/>
      <c r="N136" s="767"/>
    </row>
    <row r="137" spans="1:14" x14ac:dyDescent="0.3">
      <c r="A137" s="767"/>
      <c r="B137" s="767"/>
      <c r="C137" s="767"/>
      <c r="D137" s="767"/>
      <c r="E137" s="767"/>
      <c r="F137" s="767"/>
      <c r="G137" s="767"/>
      <c r="H137" s="767"/>
      <c r="I137" s="767"/>
      <c r="J137" s="767"/>
      <c r="K137" s="767"/>
      <c r="L137" s="767"/>
      <c r="M137" s="767"/>
      <c r="N137" s="767"/>
    </row>
    <row r="138" spans="1:14" x14ac:dyDescent="0.3">
      <c r="A138" s="767"/>
      <c r="B138" s="767"/>
      <c r="C138" s="767"/>
      <c r="D138" s="767"/>
      <c r="E138" s="767"/>
      <c r="F138" s="767"/>
      <c r="G138" s="767"/>
      <c r="H138" s="767"/>
      <c r="I138" s="767"/>
      <c r="J138" s="767"/>
      <c r="K138" s="767"/>
      <c r="L138" s="767"/>
      <c r="M138" s="767"/>
      <c r="N138" s="767"/>
    </row>
    <row r="139" spans="1:14" x14ac:dyDescent="0.3">
      <c r="A139" s="767"/>
      <c r="B139" s="767"/>
      <c r="C139" s="767"/>
      <c r="D139" s="767"/>
      <c r="E139" s="767"/>
      <c r="F139" s="767"/>
      <c r="G139" s="767"/>
      <c r="H139" s="767"/>
      <c r="I139" s="767"/>
      <c r="J139" s="767"/>
      <c r="K139" s="767"/>
      <c r="L139" s="767"/>
      <c r="M139" s="767"/>
      <c r="N139" s="767"/>
    </row>
    <row r="140" spans="1:14" x14ac:dyDescent="0.3">
      <c r="A140" s="767"/>
      <c r="B140" s="767"/>
      <c r="C140" s="767"/>
      <c r="D140" s="767"/>
      <c r="E140" s="767"/>
      <c r="F140" s="767"/>
      <c r="G140" s="767"/>
      <c r="H140" s="767"/>
      <c r="I140" s="767"/>
      <c r="J140" s="767"/>
      <c r="K140" s="767"/>
      <c r="L140" s="767"/>
      <c r="M140" s="767"/>
      <c r="N140" s="767"/>
    </row>
    <row r="141" spans="1:14" x14ac:dyDescent="0.3">
      <c r="A141" s="767"/>
      <c r="B141" s="767"/>
      <c r="C141" s="767"/>
      <c r="D141" s="767"/>
      <c r="E141" s="767"/>
      <c r="F141" s="767"/>
      <c r="G141" s="767"/>
      <c r="H141" s="767"/>
      <c r="I141" s="767"/>
      <c r="J141" s="767"/>
      <c r="K141" s="767"/>
      <c r="L141" s="767"/>
      <c r="M141" s="767"/>
      <c r="N141" s="767"/>
    </row>
    <row r="142" spans="1:14" x14ac:dyDescent="0.3">
      <c r="A142" s="767"/>
      <c r="B142" s="767"/>
      <c r="C142" s="767"/>
      <c r="D142" s="767"/>
      <c r="E142" s="767"/>
      <c r="F142" s="767"/>
      <c r="G142" s="767"/>
      <c r="H142" s="767"/>
      <c r="I142" s="767"/>
      <c r="J142" s="767"/>
      <c r="K142" s="767"/>
      <c r="L142" s="767"/>
      <c r="M142" s="767"/>
      <c r="N142" s="767"/>
    </row>
    <row r="143" spans="1:14" x14ac:dyDescent="0.3">
      <c r="A143" s="767"/>
      <c r="B143" s="767"/>
      <c r="C143" s="767"/>
      <c r="D143" s="767"/>
      <c r="E143" s="767"/>
      <c r="F143" s="767"/>
      <c r="G143" s="767"/>
      <c r="H143" s="767"/>
      <c r="I143" s="767"/>
      <c r="J143" s="767"/>
      <c r="K143" s="767"/>
      <c r="L143" s="767"/>
      <c r="M143" s="767"/>
      <c r="N143" s="767"/>
    </row>
    <row r="144" spans="1:14" x14ac:dyDescent="0.3">
      <c r="A144" s="767"/>
      <c r="B144" s="767"/>
      <c r="C144" s="767"/>
      <c r="D144" s="767"/>
      <c r="E144" s="767"/>
      <c r="F144" s="767"/>
      <c r="G144" s="767"/>
      <c r="H144" s="767"/>
      <c r="I144" s="767"/>
      <c r="J144" s="767"/>
      <c r="K144" s="767"/>
      <c r="L144" s="767"/>
      <c r="M144" s="767"/>
      <c r="N144" s="767"/>
    </row>
    <row r="145" spans="1:14" x14ac:dyDescent="0.3">
      <c r="A145" s="767"/>
      <c r="B145" s="767"/>
      <c r="C145" s="767"/>
      <c r="D145" s="767"/>
      <c r="E145" s="767"/>
      <c r="F145" s="767"/>
      <c r="G145" s="767"/>
      <c r="H145" s="767"/>
      <c r="I145" s="767"/>
      <c r="J145" s="767"/>
      <c r="K145" s="767"/>
      <c r="L145" s="767"/>
      <c r="M145" s="767"/>
      <c r="N145" s="767"/>
    </row>
    <row r="146" spans="1:14" x14ac:dyDescent="0.3">
      <c r="A146" s="767"/>
      <c r="B146" s="767"/>
      <c r="C146" s="767"/>
      <c r="D146" s="767"/>
      <c r="E146" s="767"/>
      <c r="F146" s="767"/>
      <c r="G146" s="767"/>
      <c r="H146" s="767"/>
      <c r="I146" s="767"/>
      <c r="J146" s="767"/>
      <c r="K146" s="767"/>
      <c r="L146" s="767"/>
      <c r="M146" s="767"/>
      <c r="N146" s="767"/>
    </row>
    <row r="147" spans="1:14" x14ac:dyDescent="0.3">
      <c r="A147" s="767"/>
      <c r="B147" s="767"/>
      <c r="C147" s="767"/>
      <c r="D147" s="767"/>
      <c r="E147" s="767"/>
      <c r="F147" s="767"/>
      <c r="G147" s="767"/>
      <c r="H147" s="767"/>
      <c r="I147" s="767"/>
      <c r="J147" s="767"/>
      <c r="K147" s="767"/>
      <c r="L147" s="767"/>
      <c r="M147" s="767"/>
      <c r="N147" s="767"/>
    </row>
    <row r="148" spans="1:14" x14ac:dyDescent="0.3">
      <c r="A148" s="767"/>
      <c r="B148" s="767"/>
      <c r="C148" s="767"/>
      <c r="D148" s="767"/>
      <c r="E148" s="767"/>
      <c r="F148" s="767"/>
      <c r="G148" s="767"/>
      <c r="H148" s="767"/>
      <c r="I148" s="767"/>
      <c r="J148" s="767"/>
      <c r="K148" s="767"/>
      <c r="L148" s="767"/>
      <c r="M148" s="767"/>
      <c r="N148" s="767"/>
    </row>
    <row r="149" spans="1:14" x14ac:dyDescent="0.3">
      <c r="A149" s="767"/>
      <c r="B149" s="767"/>
      <c r="C149" s="767"/>
      <c r="D149" s="767"/>
      <c r="E149" s="767"/>
      <c r="F149" s="767"/>
      <c r="G149" s="767"/>
      <c r="H149" s="767"/>
      <c r="I149" s="767"/>
      <c r="J149" s="767"/>
      <c r="K149" s="767"/>
      <c r="L149" s="767"/>
      <c r="M149" s="767"/>
      <c r="N149" s="767"/>
    </row>
    <row r="150" spans="1:14" x14ac:dyDescent="0.3">
      <c r="A150" s="767"/>
      <c r="B150" s="767"/>
      <c r="C150" s="767"/>
      <c r="D150" s="767"/>
      <c r="E150" s="767"/>
      <c r="F150" s="767"/>
      <c r="G150" s="767"/>
      <c r="H150" s="767"/>
      <c r="I150" s="767"/>
      <c r="J150" s="767"/>
      <c r="K150" s="767"/>
      <c r="L150" s="767"/>
      <c r="M150" s="767"/>
      <c r="N150" s="767"/>
    </row>
    <row r="151" spans="1:14" x14ac:dyDescent="0.3">
      <c r="A151" s="767"/>
      <c r="B151" s="767"/>
      <c r="C151" s="767"/>
      <c r="D151" s="767"/>
      <c r="E151" s="767"/>
      <c r="F151" s="767"/>
      <c r="G151" s="767"/>
      <c r="H151" s="767"/>
      <c r="I151" s="767"/>
      <c r="J151" s="767"/>
      <c r="K151" s="767"/>
      <c r="L151" s="767"/>
      <c r="M151" s="767"/>
      <c r="N151" s="767"/>
    </row>
    <row r="152" spans="1:14" x14ac:dyDescent="0.3">
      <c r="A152" s="767"/>
      <c r="B152" s="767"/>
      <c r="C152" s="767"/>
      <c r="D152" s="767"/>
      <c r="E152" s="767"/>
      <c r="F152" s="767"/>
      <c r="G152" s="767"/>
      <c r="H152" s="767"/>
      <c r="I152" s="767"/>
      <c r="J152" s="767"/>
      <c r="K152" s="767"/>
      <c r="L152" s="767"/>
      <c r="M152" s="767"/>
      <c r="N152" s="767"/>
    </row>
    <row r="153" spans="1:14" x14ac:dyDescent="0.3">
      <c r="A153" s="767"/>
      <c r="B153" s="767"/>
      <c r="C153" s="767"/>
      <c r="D153" s="767"/>
      <c r="E153" s="767"/>
      <c r="F153" s="767"/>
      <c r="G153" s="767"/>
      <c r="H153" s="767"/>
      <c r="I153" s="767"/>
      <c r="J153" s="767"/>
      <c r="K153" s="767"/>
      <c r="L153" s="767"/>
      <c r="M153" s="767"/>
      <c r="N153" s="767"/>
    </row>
    <row r="154" spans="1:14" x14ac:dyDescent="0.3">
      <c r="A154" s="767"/>
      <c r="B154" s="767"/>
      <c r="C154" s="767"/>
      <c r="D154" s="767"/>
      <c r="E154" s="767"/>
      <c r="F154" s="767"/>
      <c r="G154" s="767"/>
      <c r="H154" s="767"/>
      <c r="I154" s="767"/>
      <c r="J154" s="767"/>
      <c r="K154" s="767"/>
      <c r="L154" s="767"/>
      <c r="M154" s="767"/>
      <c r="N154" s="767"/>
    </row>
    <row r="155" spans="1:14" x14ac:dyDescent="0.3">
      <c r="A155" s="767"/>
      <c r="B155" s="767"/>
      <c r="C155" s="767"/>
      <c r="D155" s="767"/>
      <c r="E155" s="767"/>
      <c r="F155" s="767"/>
      <c r="G155" s="767"/>
      <c r="H155" s="767"/>
      <c r="I155" s="767"/>
      <c r="J155" s="767"/>
      <c r="K155" s="767"/>
      <c r="L155" s="767"/>
      <c r="M155" s="767"/>
      <c r="N155" s="767"/>
    </row>
    <row r="156" spans="1:14" x14ac:dyDescent="0.3">
      <c r="A156" s="767"/>
      <c r="B156" s="767"/>
      <c r="C156" s="767"/>
      <c r="D156" s="767"/>
      <c r="E156" s="767"/>
      <c r="F156" s="767"/>
      <c r="G156" s="767"/>
      <c r="H156" s="767"/>
      <c r="I156" s="767"/>
      <c r="J156" s="767"/>
      <c r="K156" s="767"/>
      <c r="L156" s="767"/>
      <c r="M156" s="767"/>
      <c r="N156" s="767"/>
    </row>
    <row r="157" spans="1:14" x14ac:dyDescent="0.3">
      <c r="A157" s="767"/>
      <c r="B157" s="767"/>
      <c r="C157" s="767"/>
      <c r="D157" s="767"/>
      <c r="E157" s="767"/>
      <c r="F157" s="767"/>
      <c r="G157" s="767"/>
      <c r="H157" s="767"/>
      <c r="I157" s="767"/>
      <c r="J157" s="767"/>
      <c r="K157" s="767"/>
      <c r="L157" s="767"/>
      <c r="M157" s="767"/>
      <c r="N157" s="767"/>
    </row>
    <row r="158" spans="1:14" x14ac:dyDescent="0.3">
      <c r="A158" s="767"/>
      <c r="B158" s="767"/>
      <c r="C158" s="767"/>
      <c r="D158" s="767"/>
      <c r="E158" s="767"/>
      <c r="F158" s="767"/>
      <c r="G158" s="767"/>
      <c r="H158" s="767"/>
      <c r="I158" s="767"/>
      <c r="J158" s="767"/>
      <c r="K158" s="767"/>
      <c r="L158" s="767"/>
      <c r="M158" s="767"/>
      <c r="N158" s="767"/>
    </row>
    <row r="159" spans="1:14" x14ac:dyDescent="0.3">
      <c r="A159" s="767"/>
      <c r="B159" s="767"/>
      <c r="C159" s="767"/>
      <c r="D159" s="767"/>
      <c r="E159" s="767"/>
      <c r="F159" s="767"/>
      <c r="G159" s="767"/>
      <c r="H159" s="767"/>
      <c r="I159" s="767"/>
      <c r="J159" s="767"/>
      <c r="K159" s="767"/>
      <c r="L159" s="767"/>
      <c r="M159" s="767"/>
      <c r="N159" s="767"/>
    </row>
    <row r="160" spans="1:14" x14ac:dyDescent="0.3">
      <c r="A160" s="767"/>
      <c r="B160" s="767"/>
      <c r="C160" s="767"/>
      <c r="D160" s="767"/>
      <c r="E160" s="767"/>
      <c r="F160" s="767"/>
      <c r="G160" s="767"/>
      <c r="H160" s="767"/>
      <c r="I160" s="767"/>
      <c r="J160" s="767"/>
      <c r="K160" s="767"/>
      <c r="L160" s="767"/>
      <c r="M160" s="767"/>
      <c r="N160" s="767"/>
    </row>
    <row r="161" spans="1:14" x14ac:dyDescent="0.3">
      <c r="A161" s="767"/>
      <c r="B161" s="767"/>
      <c r="C161" s="767"/>
      <c r="D161" s="767"/>
      <c r="E161" s="767"/>
      <c r="F161" s="767"/>
      <c r="G161" s="767"/>
      <c r="H161" s="767"/>
      <c r="I161" s="767"/>
      <c r="J161" s="767"/>
      <c r="K161" s="767"/>
      <c r="L161" s="767"/>
      <c r="M161" s="767"/>
      <c r="N161" s="767"/>
    </row>
    <row r="162" spans="1:14" x14ac:dyDescent="0.3">
      <c r="A162" s="767"/>
      <c r="B162" s="767"/>
      <c r="C162" s="767"/>
      <c r="D162" s="767"/>
      <c r="E162" s="767"/>
      <c r="F162" s="767"/>
      <c r="G162" s="767"/>
      <c r="H162" s="767"/>
      <c r="I162" s="767"/>
      <c r="J162" s="767"/>
      <c r="K162" s="767"/>
      <c r="L162" s="767"/>
      <c r="M162" s="767"/>
      <c r="N162" s="767"/>
    </row>
    <row r="163" spans="1:14" x14ac:dyDescent="0.3">
      <c r="A163" s="767"/>
      <c r="B163" s="767"/>
      <c r="C163" s="767"/>
      <c r="D163" s="767"/>
      <c r="E163" s="767"/>
      <c r="F163" s="767"/>
      <c r="G163" s="767"/>
      <c r="H163" s="767"/>
      <c r="I163" s="767"/>
      <c r="J163" s="767"/>
      <c r="K163" s="767"/>
      <c r="L163" s="767"/>
      <c r="M163" s="767"/>
      <c r="N163" s="767"/>
    </row>
    <row r="164" spans="1:14" x14ac:dyDescent="0.3">
      <c r="A164" s="767"/>
      <c r="B164" s="767"/>
      <c r="C164" s="767"/>
      <c r="D164" s="767"/>
      <c r="E164" s="767"/>
      <c r="F164" s="767"/>
      <c r="G164" s="767"/>
      <c r="H164" s="767"/>
      <c r="I164" s="767"/>
      <c r="J164" s="767"/>
      <c r="K164" s="767"/>
      <c r="L164" s="767"/>
      <c r="M164" s="767"/>
      <c r="N164" s="767"/>
    </row>
    <row r="165" spans="1:14" x14ac:dyDescent="0.3">
      <c r="A165" s="767"/>
      <c r="B165" s="767"/>
      <c r="C165" s="767"/>
      <c r="D165" s="767"/>
      <c r="E165" s="767"/>
      <c r="F165" s="767"/>
      <c r="G165" s="767"/>
      <c r="H165" s="767"/>
      <c r="I165" s="767"/>
      <c r="J165" s="767"/>
      <c r="K165" s="767"/>
      <c r="L165" s="767"/>
      <c r="M165" s="767"/>
      <c r="N165" s="767"/>
    </row>
    <row r="166" spans="1:14" x14ac:dyDescent="0.3">
      <c r="A166" s="767"/>
      <c r="B166" s="767"/>
      <c r="C166" s="767"/>
      <c r="D166" s="767"/>
      <c r="E166" s="767"/>
      <c r="F166" s="767"/>
      <c r="G166" s="767"/>
      <c r="H166" s="767"/>
      <c r="I166" s="767"/>
      <c r="J166" s="767"/>
      <c r="K166" s="767"/>
      <c r="L166" s="767"/>
      <c r="M166" s="767"/>
      <c r="N166" s="767"/>
    </row>
    <row r="167" spans="1:14" x14ac:dyDescent="0.3">
      <c r="A167" s="767"/>
      <c r="B167" s="767"/>
      <c r="C167" s="767"/>
      <c r="D167" s="767"/>
      <c r="E167" s="767"/>
      <c r="F167" s="767"/>
      <c r="G167" s="767"/>
      <c r="H167" s="767"/>
      <c r="I167" s="767"/>
      <c r="J167" s="767"/>
      <c r="K167" s="767"/>
      <c r="L167" s="767"/>
      <c r="M167" s="767"/>
      <c r="N167" s="767"/>
    </row>
    <row r="168" spans="1:14" x14ac:dyDescent="0.3">
      <c r="A168" s="767"/>
      <c r="B168" s="767"/>
      <c r="C168" s="767"/>
      <c r="D168" s="767"/>
      <c r="E168" s="767"/>
      <c r="F168" s="767"/>
      <c r="G168" s="767"/>
      <c r="H168" s="767"/>
      <c r="I168" s="767"/>
      <c r="J168" s="767"/>
      <c r="K168" s="767"/>
      <c r="L168" s="767"/>
      <c r="M168" s="767"/>
      <c r="N168" s="767"/>
    </row>
    <row r="169" spans="1:14" x14ac:dyDescent="0.3">
      <c r="A169" s="767"/>
      <c r="B169" s="767"/>
      <c r="C169" s="767"/>
      <c r="D169" s="767"/>
      <c r="E169" s="767"/>
      <c r="F169" s="767"/>
      <c r="G169" s="767"/>
      <c r="H169" s="767"/>
      <c r="I169" s="767"/>
      <c r="J169" s="767"/>
      <c r="K169" s="767"/>
      <c r="L169" s="767"/>
      <c r="M169" s="767"/>
      <c r="N169" s="767"/>
    </row>
    <row r="170" spans="1:14" x14ac:dyDescent="0.3">
      <c r="A170" s="767"/>
      <c r="B170" s="767"/>
      <c r="C170" s="767"/>
      <c r="D170" s="767"/>
      <c r="E170" s="767"/>
      <c r="F170" s="767"/>
      <c r="G170" s="767"/>
      <c r="H170" s="767"/>
      <c r="I170" s="767"/>
      <c r="J170" s="767"/>
      <c r="K170" s="767"/>
      <c r="L170" s="767"/>
      <c r="M170" s="767"/>
      <c r="N170" s="767"/>
    </row>
    <row r="171" spans="1:14" x14ac:dyDescent="0.3">
      <c r="A171" s="767"/>
      <c r="B171" s="767"/>
      <c r="C171" s="767"/>
      <c r="D171" s="767"/>
      <c r="E171" s="767"/>
      <c r="F171" s="767"/>
      <c r="G171" s="767"/>
      <c r="H171" s="767"/>
      <c r="I171" s="767"/>
      <c r="J171" s="767"/>
      <c r="K171" s="767"/>
      <c r="L171" s="767"/>
      <c r="M171" s="767"/>
      <c r="N171" s="767"/>
    </row>
    <row r="172" spans="1:14" x14ac:dyDescent="0.3">
      <c r="A172" s="767"/>
      <c r="B172" s="767"/>
      <c r="C172" s="767"/>
      <c r="D172" s="767"/>
      <c r="E172" s="767"/>
      <c r="F172" s="767"/>
      <c r="G172" s="767"/>
      <c r="H172" s="767"/>
      <c r="I172" s="767"/>
      <c r="J172" s="767"/>
      <c r="K172" s="767"/>
      <c r="L172" s="767"/>
      <c r="M172" s="767"/>
      <c r="N172" s="767"/>
    </row>
    <row r="173" spans="1:14" x14ac:dyDescent="0.3">
      <c r="A173" s="767"/>
      <c r="B173" s="767"/>
      <c r="C173" s="767"/>
      <c r="D173" s="767"/>
      <c r="E173" s="767"/>
      <c r="F173" s="767"/>
      <c r="G173" s="767"/>
      <c r="H173" s="767"/>
      <c r="I173" s="767"/>
      <c r="J173" s="767"/>
      <c r="K173" s="767"/>
      <c r="L173" s="767"/>
      <c r="M173" s="767"/>
      <c r="N173" s="767"/>
    </row>
    <row r="174" spans="1:14" x14ac:dyDescent="0.3">
      <c r="A174" s="767"/>
      <c r="B174" s="767"/>
      <c r="C174" s="767"/>
      <c r="D174" s="767"/>
      <c r="E174" s="767"/>
      <c r="F174" s="767"/>
      <c r="G174" s="767"/>
      <c r="H174" s="767"/>
      <c r="I174" s="767"/>
      <c r="J174" s="767"/>
      <c r="K174" s="767"/>
      <c r="L174" s="767"/>
      <c r="M174" s="767"/>
      <c r="N174" s="767"/>
    </row>
    <row r="175" spans="1:14" x14ac:dyDescent="0.3">
      <c r="A175" s="767"/>
      <c r="B175" s="767"/>
      <c r="C175" s="767"/>
      <c r="D175" s="767"/>
      <c r="E175" s="767"/>
      <c r="F175" s="767"/>
      <c r="G175" s="767"/>
      <c r="H175" s="767"/>
      <c r="I175" s="767"/>
      <c r="J175" s="767"/>
      <c r="K175" s="767"/>
      <c r="L175" s="767"/>
      <c r="M175" s="767"/>
      <c r="N175" s="767"/>
    </row>
    <row r="176" spans="1:14" x14ac:dyDescent="0.3">
      <c r="A176" s="767"/>
      <c r="B176" s="767"/>
      <c r="C176" s="767"/>
      <c r="D176" s="767"/>
      <c r="E176" s="767"/>
      <c r="F176" s="767"/>
      <c r="G176" s="767"/>
      <c r="H176" s="767"/>
      <c r="I176" s="767"/>
      <c r="J176" s="767"/>
      <c r="K176" s="767"/>
      <c r="L176" s="767"/>
      <c r="M176" s="767"/>
      <c r="N176" s="767"/>
    </row>
    <row r="177" spans="1:14" x14ac:dyDescent="0.3">
      <c r="A177" s="767"/>
      <c r="B177" s="767"/>
      <c r="C177" s="767"/>
      <c r="D177" s="767"/>
      <c r="E177" s="767"/>
      <c r="F177" s="767"/>
      <c r="G177" s="767"/>
      <c r="H177" s="767"/>
      <c r="I177" s="767"/>
      <c r="J177" s="767"/>
      <c r="K177" s="767"/>
      <c r="L177" s="767"/>
      <c r="M177" s="767"/>
      <c r="N177" s="767"/>
    </row>
    <row r="178" spans="1:14" x14ac:dyDescent="0.3">
      <c r="A178" s="767"/>
      <c r="B178" s="767"/>
      <c r="C178" s="767"/>
      <c r="D178" s="767"/>
      <c r="E178" s="767"/>
      <c r="F178" s="767"/>
      <c r="G178" s="767"/>
      <c r="H178" s="767"/>
      <c r="I178" s="767"/>
      <c r="J178" s="767"/>
      <c r="K178" s="767"/>
      <c r="L178" s="767"/>
      <c r="M178" s="767"/>
      <c r="N178" s="767"/>
    </row>
    <row r="179" spans="1:14" x14ac:dyDescent="0.3">
      <c r="A179" s="767"/>
      <c r="B179" s="767"/>
      <c r="C179" s="767"/>
      <c r="D179" s="767"/>
      <c r="E179" s="767"/>
      <c r="F179" s="767"/>
      <c r="G179" s="767"/>
      <c r="H179" s="767"/>
      <c r="I179" s="767"/>
      <c r="J179" s="767"/>
      <c r="K179" s="767"/>
      <c r="L179" s="767"/>
      <c r="M179" s="767"/>
      <c r="N179" s="767"/>
    </row>
    <row r="180" spans="1:14" x14ac:dyDescent="0.3">
      <c r="A180" s="767"/>
      <c r="B180" s="767"/>
      <c r="C180" s="767"/>
      <c r="D180" s="767"/>
      <c r="E180" s="767"/>
      <c r="F180" s="767"/>
      <c r="G180" s="767"/>
      <c r="H180" s="767"/>
      <c r="I180" s="767"/>
      <c r="J180" s="767"/>
      <c r="K180" s="767"/>
      <c r="L180" s="767"/>
      <c r="M180" s="767"/>
      <c r="N180" s="767"/>
    </row>
    <row r="181" spans="1:14" x14ac:dyDescent="0.3">
      <c r="A181" s="767"/>
      <c r="B181" s="767"/>
      <c r="C181" s="767"/>
      <c r="D181" s="767"/>
      <c r="E181" s="767"/>
      <c r="F181" s="767"/>
      <c r="G181" s="767"/>
      <c r="H181" s="767"/>
      <c r="I181" s="767"/>
      <c r="J181" s="767"/>
      <c r="K181" s="767"/>
      <c r="L181" s="767"/>
      <c r="M181" s="767"/>
      <c r="N181" s="767"/>
    </row>
    <row r="182" spans="1:14" x14ac:dyDescent="0.3">
      <c r="A182" s="767"/>
      <c r="B182" s="767"/>
      <c r="C182" s="767"/>
      <c r="D182" s="767"/>
      <c r="E182" s="767"/>
      <c r="F182" s="767"/>
      <c r="G182" s="767"/>
      <c r="H182" s="767"/>
      <c r="I182" s="767"/>
      <c r="J182" s="767"/>
      <c r="K182" s="767"/>
      <c r="L182" s="767"/>
      <c r="M182" s="767"/>
      <c r="N182" s="767"/>
    </row>
    <row r="183" spans="1:14" x14ac:dyDescent="0.3">
      <c r="A183" s="767"/>
      <c r="B183" s="767"/>
      <c r="C183" s="767"/>
      <c r="D183" s="767"/>
      <c r="E183" s="767"/>
      <c r="F183" s="767"/>
      <c r="G183" s="767"/>
      <c r="H183" s="767"/>
      <c r="I183" s="767"/>
      <c r="J183" s="767"/>
      <c r="K183" s="767"/>
      <c r="L183" s="767"/>
      <c r="M183" s="767"/>
      <c r="N183" s="767"/>
    </row>
    <row r="184" spans="1:14" x14ac:dyDescent="0.3">
      <c r="A184" s="767"/>
      <c r="B184" s="767"/>
      <c r="C184" s="767"/>
      <c r="D184" s="767"/>
      <c r="E184" s="767"/>
      <c r="F184" s="767"/>
      <c r="G184" s="767"/>
      <c r="H184" s="767"/>
      <c r="I184" s="767"/>
      <c r="J184" s="767"/>
      <c r="K184" s="767"/>
      <c r="L184" s="767"/>
      <c r="M184" s="767"/>
      <c r="N184" s="767"/>
    </row>
    <row r="185" spans="1:14" x14ac:dyDescent="0.3">
      <c r="A185" s="767"/>
      <c r="B185" s="767"/>
      <c r="C185" s="767"/>
      <c r="D185" s="767"/>
      <c r="E185" s="767"/>
      <c r="F185" s="767"/>
      <c r="G185" s="767"/>
      <c r="H185" s="767"/>
      <c r="I185" s="767"/>
      <c r="J185" s="767"/>
      <c r="K185" s="767"/>
      <c r="L185" s="767"/>
      <c r="M185" s="767"/>
      <c r="N185" s="767"/>
    </row>
    <row r="186" spans="1:14" x14ac:dyDescent="0.3">
      <c r="A186" s="767"/>
      <c r="B186" s="767"/>
      <c r="C186" s="767"/>
      <c r="D186" s="767"/>
      <c r="E186" s="767"/>
      <c r="F186" s="767"/>
      <c r="G186" s="767"/>
      <c r="H186" s="767"/>
      <c r="I186" s="767"/>
      <c r="J186" s="767"/>
      <c r="K186" s="767"/>
      <c r="L186" s="767"/>
      <c r="M186" s="767"/>
      <c r="N186" s="767"/>
    </row>
    <row r="187" spans="1:14" x14ac:dyDescent="0.3">
      <c r="A187" s="767"/>
      <c r="B187" s="767"/>
      <c r="C187" s="767"/>
      <c r="D187" s="767"/>
      <c r="E187" s="767"/>
      <c r="F187" s="767"/>
      <c r="G187" s="767"/>
      <c r="H187" s="767"/>
      <c r="I187" s="767"/>
      <c r="J187" s="767"/>
      <c r="K187" s="767"/>
      <c r="L187" s="767"/>
      <c r="M187" s="767"/>
      <c r="N187" s="767"/>
    </row>
    <row r="188" spans="1:14" x14ac:dyDescent="0.3">
      <c r="A188" s="767"/>
      <c r="B188" s="767"/>
      <c r="C188" s="767"/>
      <c r="D188" s="767"/>
      <c r="E188" s="767"/>
      <c r="F188" s="767"/>
      <c r="G188" s="767"/>
      <c r="H188" s="767"/>
      <c r="I188" s="767"/>
      <c r="J188" s="767"/>
      <c r="K188" s="767"/>
      <c r="L188" s="767"/>
      <c r="M188" s="767"/>
      <c r="N188" s="767"/>
    </row>
    <row r="189" spans="1:14" x14ac:dyDescent="0.3">
      <c r="A189" s="767"/>
      <c r="B189" s="767"/>
      <c r="C189" s="767"/>
      <c r="D189" s="767"/>
      <c r="E189" s="767"/>
      <c r="F189" s="767"/>
      <c r="G189" s="767"/>
      <c r="H189" s="767"/>
      <c r="I189" s="767"/>
      <c r="J189" s="767"/>
      <c r="K189" s="767"/>
      <c r="L189" s="767"/>
      <c r="M189" s="767"/>
      <c r="N189" s="767"/>
    </row>
    <row r="190" spans="1:14" x14ac:dyDescent="0.3">
      <c r="A190" s="767"/>
      <c r="B190" s="767"/>
      <c r="C190" s="767"/>
      <c r="D190" s="767"/>
      <c r="E190" s="767"/>
      <c r="F190" s="767"/>
      <c r="G190" s="767"/>
      <c r="H190" s="767"/>
      <c r="I190" s="767"/>
      <c r="J190" s="767"/>
      <c r="K190" s="767"/>
      <c r="L190" s="767"/>
      <c r="M190" s="767"/>
      <c r="N190" s="767"/>
    </row>
    <row r="191" spans="1:14" x14ac:dyDescent="0.3">
      <c r="A191" s="767"/>
      <c r="B191" s="767"/>
      <c r="C191" s="767"/>
      <c r="D191" s="767"/>
      <c r="E191" s="767"/>
      <c r="F191" s="767"/>
      <c r="G191" s="767"/>
      <c r="H191" s="767"/>
      <c r="I191" s="767"/>
      <c r="J191" s="767"/>
      <c r="K191" s="767"/>
      <c r="L191" s="767"/>
      <c r="M191" s="767"/>
      <c r="N191" s="767"/>
    </row>
    <row r="192" spans="1:14" x14ac:dyDescent="0.3">
      <c r="A192" s="767"/>
      <c r="B192" s="767"/>
      <c r="C192" s="767"/>
      <c r="D192" s="767"/>
      <c r="E192" s="767"/>
      <c r="F192" s="767"/>
      <c r="G192" s="767"/>
      <c r="H192" s="767"/>
      <c r="I192" s="767"/>
      <c r="J192" s="767"/>
      <c r="K192" s="767"/>
      <c r="L192" s="767"/>
      <c r="M192" s="767"/>
      <c r="N192" s="767"/>
    </row>
    <row r="193" spans="1:14" x14ac:dyDescent="0.3">
      <c r="A193" s="767"/>
      <c r="B193" s="767"/>
      <c r="C193" s="767"/>
      <c r="D193" s="767"/>
      <c r="E193" s="767"/>
      <c r="F193" s="767"/>
      <c r="G193" s="767"/>
      <c r="H193" s="767"/>
      <c r="I193" s="767"/>
      <c r="J193" s="767"/>
      <c r="K193" s="767"/>
      <c r="L193" s="767"/>
      <c r="M193" s="767"/>
      <c r="N193" s="767"/>
    </row>
    <row r="194" spans="1:14" x14ac:dyDescent="0.3">
      <c r="A194" s="767"/>
      <c r="B194" s="767"/>
      <c r="C194" s="767"/>
      <c r="D194" s="767"/>
      <c r="E194" s="767"/>
      <c r="F194" s="767"/>
      <c r="G194" s="767"/>
      <c r="H194" s="767"/>
      <c r="I194" s="767"/>
      <c r="J194" s="767"/>
      <c r="K194" s="767"/>
      <c r="L194" s="767"/>
      <c r="M194" s="767"/>
      <c r="N194" s="767"/>
    </row>
    <row r="195" spans="1:14" x14ac:dyDescent="0.3">
      <c r="A195" s="767"/>
      <c r="B195" s="767"/>
      <c r="C195" s="767"/>
      <c r="D195" s="767"/>
      <c r="E195" s="767"/>
      <c r="F195" s="767"/>
      <c r="G195" s="767"/>
      <c r="H195" s="767"/>
      <c r="I195" s="767"/>
      <c r="J195" s="767"/>
      <c r="K195" s="767"/>
      <c r="L195" s="767"/>
      <c r="M195" s="767"/>
      <c r="N195" s="767"/>
    </row>
    <row r="196" spans="1:14" x14ac:dyDescent="0.3">
      <c r="A196" s="767"/>
      <c r="B196" s="767"/>
      <c r="C196" s="767"/>
      <c r="D196" s="767"/>
      <c r="E196" s="767"/>
      <c r="F196" s="767"/>
      <c r="G196" s="767"/>
      <c r="H196" s="767"/>
      <c r="I196" s="767"/>
      <c r="J196" s="767"/>
      <c r="K196" s="767"/>
      <c r="L196" s="767"/>
      <c r="M196" s="767"/>
      <c r="N196" s="767"/>
    </row>
    <row r="197" spans="1:14" x14ac:dyDescent="0.3">
      <c r="A197" s="767"/>
      <c r="B197" s="767"/>
      <c r="C197" s="767"/>
      <c r="D197" s="767"/>
      <c r="E197" s="767"/>
      <c r="F197" s="767"/>
      <c r="G197" s="767"/>
      <c r="H197" s="767"/>
      <c r="I197" s="767"/>
      <c r="J197" s="767"/>
      <c r="K197" s="767"/>
      <c r="L197" s="767"/>
      <c r="M197" s="767"/>
      <c r="N197" s="767"/>
    </row>
    <row r="198" spans="1:14" x14ac:dyDescent="0.3">
      <c r="A198" s="767"/>
      <c r="B198" s="767"/>
      <c r="C198" s="767"/>
      <c r="D198" s="767"/>
      <c r="E198" s="767"/>
      <c r="F198" s="767"/>
      <c r="G198" s="767"/>
      <c r="H198" s="767"/>
      <c r="I198" s="767"/>
      <c r="J198" s="767"/>
      <c r="K198" s="767"/>
      <c r="L198" s="767"/>
      <c r="M198" s="767"/>
      <c r="N198" s="767"/>
    </row>
    <row r="199" spans="1:14" x14ac:dyDescent="0.3">
      <c r="A199" s="767"/>
      <c r="B199" s="767"/>
      <c r="C199" s="767"/>
      <c r="D199" s="767"/>
      <c r="E199" s="767"/>
      <c r="F199" s="767"/>
      <c r="G199" s="767"/>
      <c r="H199" s="767"/>
      <c r="I199" s="767"/>
      <c r="J199" s="767"/>
      <c r="K199" s="767"/>
      <c r="L199" s="767"/>
      <c r="M199" s="767"/>
      <c r="N199" s="767"/>
    </row>
    <row r="200" spans="1:14" x14ac:dyDescent="0.3">
      <c r="A200" s="767"/>
      <c r="B200" s="767"/>
      <c r="C200" s="767"/>
      <c r="D200" s="767"/>
      <c r="E200" s="767"/>
      <c r="F200" s="767"/>
      <c r="G200" s="767"/>
      <c r="H200" s="767"/>
      <c r="I200" s="767"/>
      <c r="J200" s="767"/>
      <c r="K200" s="767"/>
      <c r="L200" s="767"/>
      <c r="M200" s="767"/>
      <c r="N200" s="767"/>
    </row>
    <row r="201" spans="1:14" x14ac:dyDescent="0.3">
      <c r="A201" s="767"/>
      <c r="B201" s="767"/>
      <c r="C201" s="767"/>
      <c r="D201" s="767"/>
      <c r="E201" s="767"/>
      <c r="F201" s="767"/>
      <c r="G201" s="767"/>
      <c r="H201" s="767"/>
      <c r="I201" s="767"/>
      <c r="J201" s="767"/>
      <c r="K201" s="767"/>
      <c r="L201" s="767"/>
      <c r="M201" s="767"/>
      <c r="N201" s="767"/>
    </row>
    <row r="202" spans="1:14" x14ac:dyDescent="0.3">
      <c r="A202" s="767"/>
      <c r="B202" s="767"/>
      <c r="C202" s="767"/>
      <c r="D202" s="767"/>
      <c r="E202" s="767"/>
      <c r="F202" s="767"/>
      <c r="G202" s="767"/>
      <c r="H202" s="767"/>
      <c r="I202" s="767"/>
      <c r="J202" s="767"/>
      <c r="K202" s="767"/>
      <c r="L202" s="767"/>
      <c r="M202" s="767"/>
      <c r="N202" s="767"/>
    </row>
    <row r="203" spans="1:14" x14ac:dyDescent="0.3">
      <c r="A203" s="767"/>
      <c r="B203" s="767"/>
      <c r="C203" s="767"/>
      <c r="D203" s="767"/>
      <c r="E203" s="767"/>
      <c r="F203" s="767"/>
      <c r="G203" s="767"/>
      <c r="H203" s="767"/>
      <c r="I203" s="767"/>
      <c r="J203" s="767"/>
      <c r="K203" s="767"/>
      <c r="L203" s="767"/>
      <c r="M203" s="767"/>
      <c r="N203" s="767"/>
    </row>
    <row r="204" spans="1:14" x14ac:dyDescent="0.3">
      <c r="A204" s="767"/>
      <c r="B204" s="767"/>
      <c r="C204" s="767"/>
      <c r="D204" s="767"/>
      <c r="E204" s="767"/>
      <c r="F204" s="767"/>
      <c r="G204" s="767"/>
      <c r="H204" s="767"/>
      <c r="I204" s="767"/>
      <c r="J204" s="767"/>
      <c r="K204" s="767"/>
      <c r="L204" s="767"/>
      <c r="M204" s="767"/>
      <c r="N204" s="767"/>
    </row>
    <row r="205" spans="1:14" x14ac:dyDescent="0.3">
      <c r="A205" s="767"/>
      <c r="B205" s="767"/>
      <c r="C205" s="767"/>
      <c r="D205" s="767"/>
      <c r="E205" s="767"/>
      <c r="F205" s="767"/>
      <c r="G205" s="767"/>
      <c r="H205" s="767"/>
      <c r="I205" s="767"/>
      <c r="J205" s="767"/>
      <c r="K205" s="767"/>
      <c r="L205" s="767"/>
      <c r="M205" s="767"/>
      <c r="N205" s="767"/>
    </row>
    <row r="206" spans="1:14" x14ac:dyDescent="0.3">
      <c r="A206" s="767"/>
      <c r="B206" s="767"/>
      <c r="C206" s="767"/>
      <c r="D206" s="767"/>
      <c r="E206" s="767"/>
      <c r="F206" s="767"/>
      <c r="G206" s="767"/>
      <c r="H206" s="767"/>
      <c r="I206" s="767"/>
      <c r="J206" s="767"/>
      <c r="K206" s="767"/>
      <c r="L206" s="767"/>
      <c r="M206" s="767"/>
      <c r="N206" s="767"/>
    </row>
    <row r="207" spans="1:14" x14ac:dyDescent="0.3">
      <c r="A207" s="767"/>
      <c r="B207" s="767"/>
      <c r="C207" s="767"/>
      <c r="D207" s="767"/>
      <c r="E207" s="767"/>
      <c r="F207" s="767"/>
      <c r="G207" s="767"/>
      <c r="H207" s="767"/>
      <c r="I207" s="767"/>
      <c r="J207" s="767"/>
      <c r="K207" s="767"/>
      <c r="L207" s="767"/>
      <c r="M207" s="767"/>
      <c r="N207" s="767"/>
    </row>
    <row r="208" spans="1:14" x14ac:dyDescent="0.3">
      <c r="A208" s="767"/>
      <c r="B208" s="767"/>
      <c r="C208" s="767"/>
      <c r="D208" s="767"/>
      <c r="E208" s="767"/>
      <c r="F208" s="767"/>
      <c r="G208" s="767"/>
      <c r="H208" s="767"/>
      <c r="I208" s="767"/>
      <c r="J208" s="767"/>
      <c r="K208" s="767"/>
      <c r="L208" s="767"/>
      <c r="M208" s="767"/>
      <c r="N208" s="767"/>
    </row>
    <row r="209" spans="1:14" x14ac:dyDescent="0.3">
      <c r="A209" s="767"/>
      <c r="B209" s="767"/>
      <c r="C209" s="767"/>
      <c r="D209" s="767"/>
      <c r="E209" s="767"/>
      <c r="F209" s="767"/>
      <c r="G209" s="767"/>
      <c r="H209" s="767"/>
      <c r="I209" s="767"/>
      <c r="J209" s="768"/>
      <c r="K209" s="768"/>
      <c r="L209" s="768"/>
      <c r="M209" s="768"/>
      <c r="N209" s="768"/>
    </row>
    <row r="210" spans="1:14" x14ac:dyDescent="0.3">
      <c r="A210" s="767"/>
      <c r="B210" s="767"/>
      <c r="C210" s="767"/>
      <c r="D210" s="767"/>
      <c r="E210" s="767"/>
      <c r="F210" s="767"/>
      <c r="G210" s="767"/>
      <c r="H210" s="767"/>
      <c r="I210" s="767"/>
    </row>
    <row r="211" spans="1:14" x14ac:dyDescent="0.3">
      <c r="A211" s="767"/>
      <c r="B211" s="767"/>
      <c r="C211" s="767"/>
      <c r="D211" s="767"/>
      <c r="E211" s="767"/>
      <c r="F211" s="767"/>
      <c r="G211" s="767"/>
      <c r="H211" s="767"/>
      <c r="I211" s="767"/>
    </row>
    <row r="212" spans="1:14" x14ac:dyDescent="0.3">
      <c r="A212" s="767"/>
      <c r="B212" s="767"/>
      <c r="C212" s="767"/>
      <c r="D212" s="767"/>
      <c r="E212" s="767"/>
      <c r="F212" s="767"/>
      <c r="G212" s="767"/>
      <c r="H212" s="767"/>
      <c r="I212" s="767"/>
    </row>
    <row r="213" spans="1:14" x14ac:dyDescent="0.3">
      <c r="A213" s="767"/>
      <c r="B213" s="767"/>
      <c r="C213" s="767"/>
      <c r="D213" s="767"/>
      <c r="E213" s="767"/>
      <c r="F213" s="767"/>
      <c r="G213" s="767"/>
      <c r="H213" s="767"/>
      <c r="I213" s="767"/>
    </row>
    <row r="214" spans="1:14" x14ac:dyDescent="0.3">
      <c r="A214" s="767"/>
      <c r="B214" s="767"/>
      <c r="C214" s="767"/>
      <c r="D214" s="767"/>
      <c r="E214" s="767"/>
      <c r="F214" s="767"/>
      <c r="G214" s="767"/>
      <c r="H214" s="767"/>
      <c r="I214" s="767"/>
    </row>
    <row r="215" spans="1:14" x14ac:dyDescent="0.3">
      <c r="A215" s="767"/>
      <c r="B215" s="767"/>
      <c r="C215" s="767"/>
      <c r="D215" s="767"/>
      <c r="E215" s="767"/>
      <c r="F215" s="767"/>
      <c r="G215" s="767"/>
      <c r="H215" s="767"/>
      <c r="I215" s="767"/>
    </row>
    <row r="216" spans="1:14" x14ac:dyDescent="0.3">
      <c r="A216" s="767"/>
      <c r="B216" s="767"/>
      <c r="C216" s="767"/>
      <c r="D216" s="767"/>
      <c r="E216" s="767"/>
      <c r="F216" s="767"/>
      <c r="G216" s="767"/>
      <c r="H216" s="767"/>
      <c r="I216" s="767"/>
    </row>
    <row r="217" spans="1:14" x14ac:dyDescent="0.3">
      <c r="A217" s="767"/>
      <c r="B217" s="767"/>
      <c r="C217" s="767"/>
      <c r="D217" s="767"/>
      <c r="E217" s="767"/>
      <c r="F217" s="767"/>
      <c r="G217" s="767"/>
      <c r="H217" s="767"/>
      <c r="I217" s="767"/>
    </row>
    <row r="218" spans="1:14" x14ac:dyDescent="0.3">
      <c r="A218" s="767"/>
      <c r="B218" s="767"/>
      <c r="C218" s="767"/>
      <c r="D218" s="767"/>
      <c r="E218" s="767"/>
      <c r="F218" s="767"/>
      <c r="G218" s="767"/>
      <c r="H218" s="767"/>
      <c r="I218" s="767"/>
    </row>
    <row r="219" spans="1:14" x14ac:dyDescent="0.3">
      <c r="A219" s="767"/>
      <c r="B219" s="767"/>
      <c r="C219" s="767"/>
      <c r="D219" s="767"/>
      <c r="E219" s="767"/>
      <c r="F219" s="767"/>
      <c r="G219" s="767"/>
      <c r="H219" s="767"/>
      <c r="I219" s="767"/>
    </row>
    <row r="220" spans="1:14" x14ac:dyDescent="0.3">
      <c r="A220" s="767"/>
      <c r="B220" s="767"/>
      <c r="C220" s="767"/>
      <c r="D220" s="767"/>
      <c r="E220" s="767"/>
      <c r="F220" s="767"/>
      <c r="G220" s="767"/>
      <c r="H220" s="767"/>
      <c r="I220" s="767"/>
    </row>
    <row r="221" spans="1:14" x14ac:dyDescent="0.3">
      <c r="A221" s="767"/>
      <c r="B221" s="767"/>
      <c r="C221" s="767"/>
      <c r="D221" s="767"/>
      <c r="E221" s="767"/>
      <c r="F221" s="767"/>
      <c r="G221" s="767"/>
      <c r="H221" s="767"/>
      <c r="I221" s="767"/>
    </row>
    <row r="222" spans="1:14" x14ac:dyDescent="0.3">
      <c r="A222" s="767"/>
      <c r="B222" s="767"/>
      <c r="C222" s="767"/>
      <c r="D222" s="767"/>
      <c r="E222" s="767"/>
      <c r="F222" s="767"/>
      <c r="G222" s="767"/>
      <c r="H222" s="767"/>
      <c r="I222" s="767"/>
    </row>
    <row r="223" spans="1:14" x14ac:dyDescent="0.3">
      <c r="A223" s="767"/>
      <c r="B223" s="767"/>
      <c r="C223" s="767"/>
      <c r="D223" s="767"/>
      <c r="E223" s="767"/>
      <c r="F223" s="767"/>
      <c r="G223" s="767"/>
      <c r="H223" s="767"/>
      <c r="I223" s="767"/>
    </row>
    <row r="224" spans="1:14" x14ac:dyDescent="0.3">
      <c r="A224" s="767"/>
      <c r="B224" s="767"/>
      <c r="C224" s="767"/>
      <c r="D224" s="767"/>
      <c r="E224" s="767"/>
      <c r="F224" s="767"/>
      <c r="G224" s="767"/>
      <c r="H224" s="767"/>
      <c r="I224" s="767"/>
    </row>
    <row r="225" spans="1:9" x14ac:dyDescent="0.3">
      <c r="A225" s="767"/>
      <c r="B225" s="767"/>
      <c r="C225" s="767"/>
      <c r="D225" s="767"/>
      <c r="E225" s="767"/>
      <c r="F225" s="767"/>
      <c r="G225" s="767"/>
      <c r="H225" s="767"/>
      <c r="I225" s="767"/>
    </row>
    <row r="226" spans="1:9" x14ac:dyDescent="0.3">
      <c r="A226" s="767"/>
      <c r="B226" s="767"/>
      <c r="C226" s="767"/>
      <c r="D226" s="767"/>
      <c r="E226" s="767"/>
      <c r="F226" s="767"/>
      <c r="G226" s="767"/>
      <c r="H226" s="767"/>
      <c r="I226" s="767"/>
    </row>
    <row r="227" spans="1:9" x14ac:dyDescent="0.3">
      <c r="A227" s="767"/>
      <c r="B227" s="767"/>
      <c r="C227" s="767"/>
      <c r="D227" s="767"/>
      <c r="E227" s="767"/>
      <c r="F227" s="767"/>
      <c r="G227" s="767"/>
      <c r="H227" s="767"/>
      <c r="I227" s="767"/>
    </row>
    <row r="228" spans="1:9" x14ac:dyDescent="0.3">
      <c r="A228" s="767"/>
      <c r="B228" s="767"/>
      <c r="C228" s="767"/>
      <c r="D228" s="767"/>
      <c r="E228" s="767"/>
      <c r="F228" s="767"/>
      <c r="G228" s="767"/>
      <c r="H228" s="767"/>
      <c r="I228" s="767"/>
    </row>
    <row r="229" spans="1:9" x14ac:dyDescent="0.3">
      <c r="A229" s="767"/>
      <c r="B229" s="767"/>
      <c r="C229" s="767"/>
      <c r="D229" s="767"/>
      <c r="E229" s="767"/>
      <c r="F229" s="767"/>
      <c r="G229" s="767"/>
      <c r="H229" s="767"/>
      <c r="I229" s="767"/>
    </row>
    <row r="230" spans="1:9" x14ac:dyDescent="0.3">
      <c r="A230" s="767"/>
      <c r="B230" s="767"/>
      <c r="C230" s="767"/>
      <c r="D230" s="767"/>
      <c r="E230" s="767"/>
      <c r="F230" s="767"/>
      <c r="G230" s="767"/>
      <c r="H230" s="767"/>
      <c r="I230" s="767"/>
    </row>
    <row r="231" spans="1:9" x14ac:dyDescent="0.3">
      <c r="A231" s="767"/>
      <c r="B231" s="767"/>
      <c r="C231" s="767"/>
      <c r="D231" s="767"/>
      <c r="E231" s="767"/>
      <c r="F231" s="767"/>
      <c r="G231" s="767"/>
      <c r="H231" s="767"/>
      <c r="I231" s="767"/>
    </row>
    <row r="232" spans="1:9" x14ac:dyDescent="0.3">
      <c r="A232" s="767"/>
      <c r="B232" s="767"/>
      <c r="C232" s="767"/>
      <c r="D232" s="767"/>
      <c r="E232" s="767"/>
      <c r="F232" s="767"/>
      <c r="G232" s="767"/>
      <c r="H232" s="767"/>
      <c r="I232" s="767"/>
    </row>
    <row r="233" spans="1:9" x14ac:dyDescent="0.3">
      <c r="A233" s="767"/>
      <c r="B233" s="767"/>
      <c r="C233" s="767"/>
      <c r="D233" s="767"/>
      <c r="E233" s="767"/>
      <c r="F233" s="767"/>
      <c r="G233" s="767"/>
      <c r="H233" s="767"/>
      <c r="I233" s="767"/>
    </row>
    <row r="234" spans="1:9" x14ac:dyDescent="0.3">
      <c r="A234" s="767"/>
      <c r="B234" s="767"/>
      <c r="C234" s="767"/>
      <c r="D234" s="767"/>
      <c r="E234" s="767"/>
      <c r="F234" s="767"/>
      <c r="G234" s="767"/>
      <c r="H234" s="767"/>
      <c r="I234" s="767"/>
    </row>
    <row r="235" spans="1:9" x14ac:dyDescent="0.3">
      <c r="A235" s="767"/>
      <c r="B235" s="767"/>
      <c r="C235" s="767"/>
      <c r="D235" s="767"/>
      <c r="E235" s="767"/>
      <c r="F235" s="767"/>
      <c r="G235" s="767"/>
      <c r="H235" s="767"/>
      <c r="I235" s="767"/>
    </row>
    <row r="236" spans="1:9" x14ac:dyDescent="0.3">
      <c r="A236" s="767"/>
      <c r="B236" s="767"/>
      <c r="C236" s="767"/>
      <c r="D236" s="767"/>
      <c r="E236" s="767"/>
      <c r="F236" s="767"/>
      <c r="G236" s="767"/>
      <c r="H236" s="767"/>
      <c r="I236" s="767"/>
    </row>
    <row r="237" spans="1:9" x14ac:dyDescent="0.3">
      <c r="A237" s="767"/>
      <c r="B237" s="767"/>
      <c r="C237" s="767"/>
      <c r="D237" s="767"/>
      <c r="E237" s="767"/>
      <c r="F237" s="767"/>
      <c r="G237" s="767"/>
      <c r="H237" s="767"/>
      <c r="I237" s="767"/>
    </row>
    <row r="238" spans="1:9" x14ac:dyDescent="0.3">
      <c r="A238" s="767"/>
      <c r="B238" s="767"/>
      <c r="C238" s="767"/>
      <c r="D238" s="767"/>
      <c r="E238" s="767"/>
      <c r="F238" s="767"/>
      <c r="G238" s="767"/>
      <c r="H238" s="767"/>
      <c r="I238" s="767"/>
    </row>
    <row r="239" spans="1:9" x14ac:dyDescent="0.3">
      <c r="A239" s="767"/>
      <c r="B239" s="767"/>
      <c r="C239" s="767"/>
      <c r="D239" s="767"/>
      <c r="E239" s="767"/>
      <c r="F239" s="767"/>
      <c r="G239" s="767"/>
      <c r="H239" s="767"/>
      <c r="I239" s="767"/>
    </row>
    <row r="240" spans="1:9" x14ac:dyDescent="0.3">
      <c r="A240" s="767"/>
      <c r="B240" s="767"/>
      <c r="C240" s="767"/>
      <c r="D240" s="767"/>
      <c r="E240" s="767"/>
      <c r="F240" s="767"/>
      <c r="G240" s="767"/>
      <c r="H240" s="767"/>
      <c r="I240" s="767"/>
    </row>
    <row r="241" spans="1:9" x14ac:dyDescent="0.3">
      <c r="A241" s="767"/>
      <c r="B241" s="767"/>
      <c r="C241" s="767"/>
      <c r="D241" s="767"/>
      <c r="E241" s="767"/>
      <c r="F241" s="767"/>
      <c r="G241" s="767"/>
      <c r="H241" s="767"/>
      <c r="I241" s="767"/>
    </row>
    <row r="242" spans="1:9" x14ac:dyDescent="0.3">
      <c r="A242" s="767"/>
      <c r="B242" s="767"/>
      <c r="C242" s="767"/>
      <c r="D242" s="767"/>
      <c r="E242" s="767"/>
      <c r="F242" s="767"/>
      <c r="G242" s="767"/>
      <c r="H242" s="767"/>
      <c r="I242" s="767"/>
    </row>
    <row r="243" spans="1:9" x14ac:dyDescent="0.3">
      <c r="A243" s="767"/>
      <c r="B243" s="767"/>
      <c r="C243" s="767"/>
      <c r="D243" s="767"/>
      <c r="E243" s="767"/>
      <c r="F243" s="767"/>
      <c r="G243" s="767"/>
      <c r="H243" s="767"/>
      <c r="I243" s="767"/>
    </row>
    <row r="244" spans="1:9" x14ac:dyDescent="0.3">
      <c r="A244" s="767"/>
      <c r="B244" s="767"/>
      <c r="C244" s="767"/>
      <c r="D244" s="767"/>
      <c r="E244" s="767"/>
      <c r="F244" s="767"/>
      <c r="G244" s="767"/>
      <c r="H244" s="767"/>
      <c r="I244" s="767"/>
    </row>
    <row r="245" spans="1:9" x14ac:dyDescent="0.3">
      <c r="A245" s="767"/>
      <c r="B245" s="767"/>
      <c r="C245" s="767"/>
      <c r="D245" s="767"/>
      <c r="E245" s="767"/>
      <c r="F245" s="767"/>
      <c r="G245" s="767"/>
      <c r="H245" s="767"/>
      <c r="I245" s="767"/>
    </row>
    <row r="246" spans="1:9" x14ac:dyDescent="0.3">
      <c r="A246" s="767"/>
      <c r="B246" s="767"/>
      <c r="C246" s="767"/>
      <c r="D246" s="767"/>
      <c r="E246" s="767"/>
      <c r="F246" s="767"/>
      <c r="G246" s="767"/>
      <c r="H246" s="767"/>
      <c r="I246" s="767"/>
    </row>
    <row r="247" spans="1:9" x14ac:dyDescent="0.3">
      <c r="A247" s="767"/>
      <c r="B247" s="767"/>
      <c r="C247" s="767"/>
      <c r="D247" s="767"/>
      <c r="E247" s="767"/>
      <c r="F247" s="767"/>
      <c r="G247" s="767"/>
      <c r="H247" s="767"/>
      <c r="I247" s="767"/>
    </row>
    <row r="248" spans="1:9" x14ac:dyDescent="0.3">
      <c r="A248" s="767"/>
      <c r="B248" s="767"/>
      <c r="C248" s="767"/>
      <c r="D248" s="767"/>
      <c r="E248" s="767"/>
      <c r="F248" s="767"/>
      <c r="G248" s="767"/>
      <c r="H248" s="767"/>
      <c r="I248" s="767"/>
    </row>
    <row r="249" spans="1:9" x14ac:dyDescent="0.3">
      <c r="A249" s="767"/>
      <c r="B249" s="767"/>
      <c r="C249" s="767"/>
      <c r="D249" s="767"/>
      <c r="E249" s="767"/>
      <c r="F249" s="767"/>
      <c r="G249" s="767"/>
      <c r="H249" s="767"/>
      <c r="I249" s="767"/>
    </row>
    <row r="250" spans="1:9" x14ac:dyDescent="0.3">
      <c r="A250" s="767"/>
      <c r="B250" s="767"/>
      <c r="C250" s="767"/>
      <c r="D250" s="767"/>
      <c r="E250" s="767"/>
      <c r="F250" s="767"/>
      <c r="G250" s="767"/>
      <c r="H250" s="767"/>
      <c r="I250" s="767"/>
    </row>
    <row r="251" spans="1:9" x14ac:dyDescent="0.3">
      <c r="A251" s="767"/>
      <c r="B251" s="767"/>
      <c r="C251" s="767"/>
      <c r="D251" s="767"/>
      <c r="E251" s="767"/>
      <c r="F251" s="767"/>
      <c r="G251" s="767"/>
      <c r="H251" s="767"/>
      <c r="I251" s="767"/>
    </row>
    <row r="252" spans="1:9" x14ac:dyDescent="0.3">
      <c r="A252" s="767"/>
      <c r="B252" s="767"/>
      <c r="C252" s="767"/>
      <c r="D252" s="767"/>
      <c r="E252" s="767"/>
      <c r="F252" s="767"/>
      <c r="G252" s="767"/>
      <c r="H252" s="767"/>
      <c r="I252" s="767"/>
    </row>
    <row r="253" spans="1:9" x14ac:dyDescent="0.3">
      <c r="A253" s="767"/>
      <c r="B253" s="767"/>
      <c r="C253" s="767"/>
      <c r="D253" s="767"/>
      <c r="E253" s="767"/>
      <c r="F253" s="767"/>
      <c r="G253" s="767"/>
      <c r="H253" s="767"/>
      <c r="I253" s="767"/>
    </row>
    <row r="254" spans="1:9" x14ac:dyDescent="0.3">
      <c r="A254" s="767"/>
      <c r="B254" s="767"/>
      <c r="C254" s="767"/>
      <c r="D254" s="767"/>
      <c r="E254" s="767"/>
      <c r="F254" s="767"/>
      <c r="G254" s="767"/>
      <c r="H254" s="767"/>
      <c r="I254" s="767"/>
    </row>
    <row r="255" spans="1:9" x14ac:dyDescent="0.3">
      <c r="A255" s="767"/>
      <c r="B255" s="767"/>
      <c r="C255" s="767"/>
      <c r="D255" s="767"/>
      <c r="E255" s="767"/>
      <c r="F255" s="767"/>
      <c r="G255" s="767"/>
      <c r="H255" s="767"/>
      <c r="I255" s="767"/>
    </row>
    <row r="256" spans="1:9" x14ac:dyDescent="0.3">
      <c r="A256" s="767"/>
      <c r="B256" s="767"/>
      <c r="C256" s="767"/>
      <c r="D256" s="767"/>
      <c r="E256" s="767"/>
      <c r="F256" s="767"/>
      <c r="G256" s="767"/>
      <c r="H256" s="767"/>
      <c r="I256" s="767"/>
    </row>
    <row r="257" spans="1:9" x14ac:dyDescent="0.3">
      <c r="A257" s="767"/>
      <c r="B257" s="767"/>
      <c r="C257" s="767"/>
      <c r="D257" s="767"/>
      <c r="E257" s="767"/>
      <c r="F257" s="767"/>
      <c r="G257" s="767"/>
      <c r="H257" s="767"/>
      <c r="I257" s="767"/>
    </row>
    <row r="258" spans="1:9" x14ac:dyDescent="0.3">
      <c r="A258" s="767"/>
      <c r="B258" s="767"/>
      <c r="C258" s="767"/>
      <c r="D258" s="767"/>
      <c r="E258" s="767"/>
      <c r="F258" s="767"/>
      <c r="G258" s="767"/>
      <c r="H258" s="767"/>
      <c r="I258" s="767"/>
    </row>
    <row r="259" spans="1:9" x14ac:dyDescent="0.3">
      <c r="A259" s="767"/>
      <c r="B259" s="767"/>
      <c r="C259" s="767"/>
      <c r="D259" s="767"/>
      <c r="E259" s="767"/>
      <c r="F259" s="767"/>
      <c r="G259" s="767"/>
      <c r="H259" s="767"/>
      <c r="I259" s="767"/>
    </row>
    <row r="260" spans="1:9" x14ac:dyDescent="0.3">
      <c r="A260" s="767"/>
      <c r="B260" s="767"/>
      <c r="C260" s="767"/>
      <c r="D260" s="767"/>
      <c r="E260" s="767"/>
      <c r="F260" s="767"/>
      <c r="G260" s="767"/>
      <c r="H260" s="767"/>
      <c r="I260" s="767"/>
    </row>
    <row r="261" spans="1:9" x14ac:dyDescent="0.3">
      <c r="A261" s="767"/>
      <c r="B261" s="767"/>
      <c r="C261" s="767"/>
      <c r="D261" s="767"/>
      <c r="E261" s="767"/>
      <c r="F261" s="767"/>
      <c r="G261" s="767"/>
      <c r="H261" s="767"/>
      <c r="I261" s="767"/>
    </row>
    <row r="262" spans="1:9" x14ac:dyDescent="0.3">
      <c r="A262" s="767"/>
      <c r="B262" s="767"/>
      <c r="C262" s="767"/>
      <c r="D262" s="767"/>
      <c r="E262" s="767"/>
      <c r="F262" s="767"/>
      <c r="G262" s="767"/>
      <c r="H262" s="767"/>
      <c r="I262" s="767"/>
    </row>
    <row r="263" spans="1:9" x14ac:dyDescent="0.3">
      <c r="A263" s="767"/>
      <c r="B263" s="767"/>
      <c r="C263" s="767"/>
      <c r="D263" s="767"/>
      <c r="E263" s="767"/>
      <c r="F263" s="767"/>
      <c r="G263" s="767"/>
      <c r="H263" s="767"/>
      <c r="I263" s="767"/>
    </row>
    <row r="264" spans="1:9" x14ac:dyDescent="0.3">
      <c r="A264" s="767"/>
      <c r="B264" s="767"/>
      <c r="C264" s="767"/>
      <c r="D264" s="767"/>
      <c r="E264" s="767"/>
      <c r="F264" s="767"/>
      <c r="G264" s="767"/>
      <c r="H264" s="767"/>
      <c r="I264" s="767"/>
    </row>
    <row r="265" spans="1:9" x14ac:dyDescent="0.3">
      <c r="A265" s="767"/>
      <c r="B265" s="767"/>
      <c r="C265" s="767"/>
      <c r="D265" s="767"/>
      <c r="E265" s="767"/>
      <c r="F265" s="767"/>
      <c r="G265" s="767"/>
      <c r="H265" s="767"/>
      <c r="I265" s="767"/>
    </row>
    <row r="266" spans="1:9" x14ac:dyDescent="0.3">
      <c r="A266" s="767"/>
      <c r="B266" s="767"/>
      <c r="C266" s="767"/>
      <c r="D266" s="767"/>
      <c r="E266" s="767"/>
      <c r="F266" s="767"/>
      <c r="G266" s="767"/>
      <c r="H266" s="767"/>
      <c r="I266" s="767"/>
    </row>
    <row r="267" spans="1:9" x14ac:dyDescent="0.3">
      <c r="A267" s="767"/>
      <c r="B267" s="767"/>
      <c r="C267" s="767"/>
      <c r="D267" s="767"/>
      <c r="E267" s="767"/>
      <c r="F267" s="767"/>
      <c r="G267" s="767"/>
      <c r="H267" s="767"/>
      <c r="I267" s="767"/>
    </row>
    <row r="268" spans="1:9" x14ac:dyDescent="0.3">
      <c r="A268" s="767"/>
      <c r="B268" s="767"/>
      <c r="C268" s="767"/>
      <c r="D268" s="767"/>
      <c r="E268" s="767"/>
      <c r="F268" s="767"/>
      <c r="G268" s="767"/>
      <c r="H268" s="767"/>
      <c r="I268" s="767"/>
    </row>
    <row r="269" spans="1:9" x14ac:dyDescent="0.3">
      <c r="A269" s="767"/>
      <c r="B269" s="767"/>
      <c r="C269" s="767"/>
      <c r="D269" s="767"/>
      <c r="E269" s="767"/>
      <c r="F269" s="767"/>
      <c r="G269" s="767"/>
      <c r="H269" s="767"/>
      <c r="I269" s="767"/>
    </row>
    <row r="270" spans="1:9" x14ac:dyDescent="0.3">
      <c r="A270" s="767"/>
      <c r="B270" s="767"/>
      <c r="C270" s="767"/>
      <c r="D270" s="767"/>
      <c r="E270" s="767"/>
      <c r="F270" s="767"/>
      <c r="G270" s="767"/>
      <c r="H270" s="767"/>
      <c r="I270" s="767"/>
    </row>
    <row r="271" spans="1:9" x14ac:dyDescent="0.3">
      <c r="A271" s="767"/>
      <c r="B271" s="767"/>
      <c r="C271" s="767"/>
      <c r="D271" s="767"/>
      <c r="E271" s="767"/>
      <c r="F271" s="767"/>
      <c r="G271" s="767"/>
      <c r="H271" s="767"/>
      <c r="I271" s="767"/>
    </row>
    <row r="272" spans="1:9" x14ac:dyDescent="0.3">
      <c r="A272" s="767"/>
      <c r="B272" s="767"/>
      <c r="C272" s="767"/>
      <c r="D272" s="767"/>
      <c r="E272" s="767"/>
      <c r="F272" s="767"/>
      <c r="G272" s="767"/>
      <c r="H272" s="767"/>
      <c r="I272" s="767"/>
    </row>
    <row r="273" spans="1:9" x14ac:dyDescent="0.3">
      <c r="A273" s="767"/>
      <c r="B273" s="767"/>
      <c r="C273" s="767"/>
      <c r="D273" s="767"/>
      <c r="E273" s="767"/>
      <c r="F273" s="767"/>
      <c r="G273" s="767"/>
      <c r="H273" s="767"/>
      <c r="I273" s="767"/>
    </row>
    <row r="274" spans="1:9" x14ac:dyDescent="0.3">
      <c r="A274" s="767"/>
      <c r="B274" s="767"/>
      <c r="C274" s="767"/>
      <c r="D274" s="767"/>
      <c r="E274" s="767"/>
      <c r="F274" s="767"/>
      <c r="G274" s="767"/>
      <c r="H274" s="767"/>
      <c r="I274" s="767"/>
    </row>
    <row r="275" spans="1:9" x14ac:dyDescent="0.3">
      <c r="A275" s="767"/>
      <c r="B275" s="767"/>
      <c r="C275" s="767"/>
      <c r="D275" s="767"/>
      <c r="E275" s="767"/>
      <c r="F275" s="767"/>
      <c r="G275" s="767"/>
      <c r="H275" s="767"/>
      <c r="I275" s="767"/>
    </row>
    <row r="276" spans="1:9" x14ac:dyDescent="0.3">
      <c r="A276" s="767"/>
      <c r="B276" s="767"/>
      <c r="C276" s="767"/>
      <c r="D276" s="767"/>
      <c r="E276" s="767"/>
      <c r="F276" s="767"/>
      <c r="G276" s="767"/>
      <c r="H276" s="767"/>
      <c r="I276" s="767"/>
    </row>
    <row r="277" spans="1:9" x14ac:dyDescent="0.3">
      <c r="A277" s="767"/>
      <c r="B277" s="767"/>
      <c r="C277" s="767"/>
      <c r="D277" s="767"/>
      <c r="E277" s="767"/>
      <c r="F277" s="767"/>
      <c r="G277" s="767"/>
      <c r="H277" s="767"/>
      <c r="I277" s="767"/>
    </row>
    <row r="278" spans="1:9" x14ac:dyDescent="0.3">
      <c r="A278" s="767"/>
      <c r="B278" s="767"/>
      <c r="C278" s="767"/>
      <c r="D278" s="767"/>
      <c r="E278" s="767"/>
      <c r="F278" s="767"/>
      <c r="G278" s="767"/>
      <c r="H278" s="767"/>
      <c r="I278" s="767"/>
    </row>
    <row r="279" spans="1:9" x14ac:dyDescent="0.3">
      <c r="A279" s="767"/>
      <c r="B279" s="767"/>
      <c r="C279" s="767"/>
      <c r="D279" s="767"/>
      <c r="E279" s="767"/>
      <c r="F279" s="767"/>
      <c r="G279" s="767"/>
      <c r="H279" s="767"/>
      <c r="I279" s="767"/>
    </row>
    <row r="280" spans="1:9" x14ac:dyDescent="0.3">
      <c r="A280" s="767"/>
      <c r="B280" s="767"/>
      <c r="C280" s="767"/>
      <c r="D280" s="767"/>
      <c r="E280" s="767"/>
      <c r="F280" s="767"/>
      <c r="G280" s="767"/>
      <c r="H280" s="767"/>
      <c r="I280" s="767"/>
    </row>
  </sheetData>
  <hyperlinks>
    <hyperlink ref="B4" location="SU_A0600" display="SU_A0600"/>
    <hyperlink ref="F2" location="SU_A0600_BOM" display="Back to BOM"/>
  </hyperlinks>
  <pageMargins left="0.70866141732283472" right="0.70866141732283472" top="0.74803149606299213" bottom="0.74803149606299213" header="0.31496062992125984" footer="0.31496062992125984"/>
  <pageSetup paperSize="9" scale="54" fitToHeight="99" orientation="landscape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2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769" t="s">
        <v>0</v>
      </c>
      <c r="B2" s="16" t="s">
        <v>37</v>
      </c>
      <c r="C2" s="742"/>
      <c r="D2" s="742"/>
      <c r="E2" s="742"/>
      <c r="F2" s="88" t="s">
        <v>126</v>
      </c>
      <c r="G2" s="742"/>
      <c r="H2" s="742"/>
      <c r="I2" s="742"/>
      <c r="J2" s="770" t="s">
        <v>1</v>
      </c>
      <c r="K2" s="744">
        <v>81</v>
      </c>
      <c r="L2" s="742"/>
      <c r="M2" s="771" t="s">
        <v>16</v>
      </c>
      <c r="N2" s="745">
        <f>SU_06002_m+SU_06002_p</f>
        <v>1.5427786126391492</v>
      </c>
      <c r="O2" s="270"/>
    </row>
    <row r="3" spans="1:15" x14ac:dyDescent="0.3">
      <c r="A3" s="772" t="s">
        <v>3</v>
      </c>
      <c r="B3" s="16" t="str">
        <f>'SU A0600'!B3</f>
        <v>Suspension &amp; Shocks</v>
      </c>
      <c r="C3" s="742"/>
      <c r="D3" s="771" t="s">
        <v>6</v>
      </c>
      <c r="E3" s="742"/>
      <c r="F3" s="742"/>
      <c r="G3" s="742"/>
      <c r="H3" s="742"/>
      <c r="I3" s="742"/>
      <c r="J3" s="742"/>
      <c r="K3" s="742"/>
      <c r="L3" s="742"/>
      <c r="M3" s="773" t="s">
        <v>4</v>
      </c>
      <c r="N3" s="746">
        <v>1</v>
      </c>
      <c r="O3" s="270"/>
    </row>
    <row r="4" spans="1:15" x14ac:dyDescent="0.3">
      <c r="A4" s="772" t="s">
        <v>5</v>
      </c>
      <c r="B4" s="88" t="str">
        <f>'SU A0600'!B4</f>
        <v>Front Bell Crank</v>
      </c>
      <c r="C4" s="742"/>
      <c r="D4" s="773" t="s">
        <v>8</v>
      </c>
      <c r="E4" s="742"/>
      <c r="F4" s="742"/>
      <c r="G4" s="742"/>
      <c r="H4" s="742"/>
      <c r="I4" s="742"/>
      <c r="J4" s="771" t="s">
        <v>6</v>
      </c>
      <c r="K4" s="742"/>
      <c r="L4" s="742"/>
      <c r="M4" s="742"/>
      <c r="N4" s="742"/>
      <c r="O4" s="270"/>
    </row>
    <row r="5" spans="1:15" x14ac:dyDescent="0.3">
      <c r="A5" s="772" t="s">
        <v>15</v>
      </c>
      <c r="B5" s="747" t="s">
        <v>386</v>
      </c>
      <c r="C5" s="742"/>
      <c r="D5" s="773" t="s">
        <v>12</v>
      </c>
      <c r="E5" s="742"/>
      <c r="F5" s="742"/>
      <c r="G5" s="742"/>
      <c r="H5" s="742"/>
      <c r="I5" s="742"/>
      <c r="J5" s="773" t="s">
        <v>8</v>
      </c>
      <c r="K5" s="742"/>
      <c r="L5" s="742"/>
      <c r="M5" s="771" t="s">
        <v>9</v>
      </c>
      <c r="N5" s="745">
        <f>N2*N3</f>
        <v>1.5427786126391492</v>
      </c>
      <c r="O5" s="270"/>
    </row>
    <row r="6" spans="1:15" x14ac:dyDescent="0.3">
      <c r="A6" s="772" t="s">
        <v>7</v>
      </c>
      <c r="B6" s="742" t="s">
        <v>411</v>
      </c>
      <c r="C6" s="742"/>
      <c r="D6" s="742"/>
      <c r="E6" s="742"/>
      <c r="F6" s="742"/>
      <c r="G6" s="742"/>
      <c r="H6" s="742"/>
      <c r="I6" s="742"/>
      <c r="J6" s="773" t="s">
        <v>12</v>
      </c>
      <c r="K6" s="742"/>
      <c r="L6" s="742"/>
      <c r="M6" s="742"/>
      <c r="N6" s="742"/>
      <c r="O6" s="270"/>
    </row>
    <row r="7" spans="1:15" x14ac:dyDescent="0.3">
      <c r="A7" s="772" t="s">
        <v>10</v>
      </c>
      <c r="B7" s="16" t="s">
        <v>11</v>
      </c>
      <c r="C7" s="742"/>
      <c r="D7" s="742"/>
      <c r="E7" s="742"/>
      <c r="F7" s="742"/>
      <c r="G7" s="742"/>
      <c r="H7" s="742"/>
      <c r="I7" s="742"/>
      <c r="J7" s="742"/>
      <c r="K7" s="742"/>
      <c r="L7" s="742"/>
      <c r="M7" s="742"/>
      <c r="N7" s="742"/>
      <c r="O7" s="270"/>
    </row>
    <row r="8" spans="1:15" x14ac:dyDescent="0.3">
      <c r="A8" s="772" t="s">
        <v>13</v>
      </c>
      <c r="B8" s="16"/>
      <c r="C8" s="742"/>
      <c r="D8" s="742"/>
      <c r="E8" s="742"/>
      <c r="F8" s="742"/>
      <c r="G8" s="742"/>
      <c r="H8" s="742"/>
      <c r="I8" s="742"/>
      <c r="J8" s="742"/>
      <c r="K8" s="742"/>
      <c r="L8" s="742"/>
      <c r="M8" s="742"/>
      <c r="N8" s="742"/>
      <c r="O8" s="270"/>
    </row>
    <row r="9" spans="1:15" x14ac:dyDescent="0.3">
      <c r="A9" s="748"/>
      <c r="B9" s="742"/>
      <c r="C9" s="742"/>
      <c r="D9" s="742"/>
      <c r="E9" s="742"/>
      <c r="F9" s="742"/>
      <c r="G9" s="742"/>
      <c r="H9" s="742"/>
      <c r="I9" s="742"/>
      <c r="J9" s="742"/>
      <c r="K9" s="742"/>
      <c r="L9" s="742"/>
      <c r="M9" s="742"/>
      <c r="N9" s="742"/>
      <c r="O9" s="270"/>
    </row>
    <row r="10" spans="1:15" x14ac:dyDescent="0.3">
      <c r="A10" s="774" t="s">
        <v>14</v>
      </c>
      <c r="B10" s="775" t="s">
        <v>19</v>
      </c>
      <c r="C10" s="750" t="s">
        <v>20</v>
      </c>
      <c r="D10" s="750" t="s">
        <v>21</v>
      </c>
      <c r="E10" s="750" t="s">
        <v>22</v>
      </c>
      <c r="F10" s="750" t="s">
        <v>23</v>
      </c>
      <c r="G10" s="750" t="s">
        <v>24</v>
      </c>
      <c r="H10" s="750" t="s">
        <v>25</v>
      </c>
      <c r="I10" s="750" t="s">
        <v>26</v>
      </c>
      <c r="J10" s="750" t="s">
        <v>27</v>
      </c>
      <c r="K10" s="750" t="s">
        <v>28</v>
      </c>
      <c r="L10" s="750" t="s">
        <v>29</v>
      </c>
      <c r="M10" s="750" t="s">
        <v>17</v>
      </c>
      <c r="N10" s="750" t="s">
        <v>18</v>
      </c>
      <c r="O10" s="270"/>
    </row>
    <row r="11" spans="1:15" x14ac:dyDescent="0.3">
      <c r="A11" s="776">
        <v>10</v>
      </c>
      <c r="B11" s="777" t="s">
        <v>375</v>
      </c>
      <c r="C11" s="753" t="s">
        <v>376</v>
      </c>
      <c r="D11" s="754">
        <v>2.25</v>
      </c>
      <c r="E11" s="755">
        <f>J11*K11*L11</f>
        <v>2.4168272284066282E-2</v>
      </c>
      <c r="F11" s="753" t="s">
        <v>212</v>
      </c>
      <c r="G11" s="753"/>
      <c r="H11" s="756"/>
      <c r="I11" s="757" t="s">
        <v>412</v>
      </c>
      <c r="J11" s="757">
        <f>PI()*(7*10^-3)^2</f>
        <v>1.5393804002589989E-4</v>
      </c>
      <c r="K11" s="758">
        <v>0.02</v>
      </c>
      <c r="L11" s="759">
        <v>7850</v>
      </c>
      <c r="M11" s="759">
        <v>1</v>
      </c>
      <c r="N11" s="754">
        <f>D11*E11*M11</f>
        <v>5.4378612639149136E-2</v>
      </c>
      <c r="O11" s="270"/>
    </row>
    <row r="12" spans="1:15" x14ac:dyDescent="0.3">
      <c r="A12" s="760"/>
      <c r="B12" s="761"/>
      <c r="C12" s="761"/>
      <c r="D12" s="761"/>
      <c r="E12" s="761"/>
      <c r="F12" s="761"/>
      <c r="G12" s="761"/>
      <c r="H12" s="761"/>
      <c r="I12" s="761"/>
      <c r="J12" s="761"/>
      <c r="K12" s="761"/>
      <c r="L12" s="761"/>
      <c r="M12" s="762" t="s">
        <v>18</v>
      </c>
      <c r="N12" s="763">
        <f>N11</f>
        <v>5.4378612639149136E-2</v>
      </c>
      <c r="O12" s="270"/>
    </row>
    <row r="13" spans="1:15" x14ac:dyDescent="0.3">
      <c r="A13" s="748"/>
      <c r="B13" s="742"/>
      <c r="C13" s="742"/>
      <c r="D13" s="742"/>
      <c r="E13" s="742"/>
      <c r="F13" s="742"/>
      <c r="G13" s="742"/>
      <c r="H13" s="742"/>
      <c r="I13" s="742"/>
      <c r="J13" s="742"/>
      <c r="K13" s="742"/>
      <c r="L13" s="742"/>
      <c r="M13" s="742"/>
      <c r="N13" s="742"/>
      <c r="O13" s="270"/>
    </row>
    <row r="14" spans="1:15" x14ac:dyDescent="0.3">
      <c r="A14" s="749" t="s">
        <v>14</v>
      </c>
      <c r="B14" s="750" t="s">
        <v>31</v>
      </c>
      <c r="C14" s="750" t="s">
        <v>20</v>
      </c>
      <c r="D14" s="750" t="s">
        <v>21</v>
      </c>
      <c r="E14" s="750" t="s">
        <v>32</v>
      </c>
      <c r="F14" s="750" t="s">
        <v>17</v>
      </c>
      <c r="G14" s="750" t="s">
        <v>33</v>
      </c>
      <c r="H14" s="750" t="s">
        <v>34</v>
      </c>
      <c r="I14" s="750" t="s">
        <v>18</v>
      </c>
      <c r="J14" s="761"/>
      <c r="K14" s="761"/>
      <c r="L14" s="761"/>
      <c r="M14" s="761"/>
      <c r="N14" s="761"/>
      <c r="O14" s="270"/>
    </row>
    <row r="15" spans="1:15" x14ac:dyDescent="0.3">
      <c r="A15" s="751">
        <v>10</v>
      </c>
      <c r="B15" s="753" t="s">
        <v>39</v>
      </c>
      <c r="C15" s="753"/>
      <c r="D15" s="754">
        <v>1.3</v>
      </c>
      <c r="E15" s="753" t="s">
        <v>35</v>
      </c>
      <c r="F15" s="753">
        <v>1</v>
      </c>
      <c r="G15" s="753"/>
      <c r="H15" s="753"/>
      <c r="I15" s="754">
        <v>1.3</v>
      </c>
      <c r="J15" s="742"/>
      <c r="K15" s="742"/>
      <c r="L15" s="742"/>
      <c r="M15" s="742"/>
      <c r="N15" s="742"/>
      <c r="O15" s="270"/>
    </row>
    <row r="16" spans="1:15" x14ac:dyDescent="0.3">
      <c r="A16" s="751">
        <v>20</v>
      </c>
      <c r="B16" s="753" t="s">
        <v>408</v>
      </c>
      <c r="C16" s="753" t="s">
        <v>409</v>
      </c>
      <c r="D16" s="754">
        <v>0.04</v>
      </c>
      <c r="E16" s="753" t="s">
        <v>161</v>
      </c>
      <c r="F16" s="753">
        <v>1.57</v>
      </c>
      <c r="G16" s="753" t="s">
        <v>413</v>
      </c>
      <c r="H16" s="753">
        <v>3</v>
      </c>
      <c r="I16" s="754">
        <f>D16*F16*H16</f>
        <v>0.18840000000000001</v>
      </c>
      <c r="J16" s="742"/>
      <c r="K16" s="742"/>
      <c r="L16" s="742"/>
      <c r="M16" s="742"/>
      <c r="N16" s="742"/>
      <c r="O16" s="270"/>
    </row>
    <row r="17" spans="1:15" x14ac:dyDescent="0.3">
      <c r="A17" s="760"/>
      <c r="B17" s="761"/>
      <c r="C17" s="761"/>
      <c r="D17" s="761"/>
      <c r="E17" s="761"/>
      <c r="F17" s="761"/>
      <c r="G17" s="761"/>
      <c r="H17" s="762" t="s">
        <v>18</v>
      </c>
      <c r="I17" s="764">
        <f>I15+I16</f>
        <v>1.4883999999999999</v>
      </c>
      <c r="J17" s="761"/>
      <c r="K17" s="761"/>
      <c r="L17" s="761"/>
      <c r="M17" s="761"/>
      <c r="N17" s="761"/>
      <c r="O17" s="270"/>
    </row>
    <row r="18" spans="1:15" x14ac:dyDescent="0.3">
      <c r="A18" s="748"/>
      <c r="B18" s="742"/>
      <c r="C18" s="742"/>
      <c r="D18" s="742"/>
      <c r="E18" s="742"/>
      <c r="F18" s="742"/>
      <c r="G18" s="742"/>
      <c r="H18" s="744"/>
      <c r="I18" s="745"/>
      <c r="J18" s="742"/>
      <c r="K18" s="742"/>
      <c r="L18" s="742"/>
      <c r="M18" s="742"/>
      <c r="N18" s="742"/>
      <c r="O18" s="270"/>
    </row>
    <row r="19" spans="1:15" x14ac:dyDescent="0.3">
      <c r="A19" s="748"/>
      <c r="B19" s="742"/>
      <c r="C19" s="742"/>
      <c r="D19" s="742"/>
      <c r="E19" s="742"/>
      <c r="F19" s="742"/>
      <c r="G19" s="742"/>
      <c r="H19" s="742"/>
      <c r="I19" s="742"/>
      <c r="J19" s="742"/>
      <c r="K19" s="742"/>
      <c r="L19" s="742"/>
      <c r="M19" s="742"/>
      <c r="N19" s="742"/>
      <c r="O19" s="270"/>
    </row>
    <row r="20" spans="1:15" x14ac:dyDescent="0.3">
      <c r="A20" s="716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0"/>
    </row>
    <row r="21" spans="1:15" x14ac:dyDescent="0.3">
      <c r="A21" s="716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0"/>
    </row>
    <row r="22" spans="1:15" ht="15" thickBot="1" x14ac:dyDescent="0.35">
      <c r="A22" s="290"/>
      <c r="B22" s="291"/>
      <c r="C22" s="291"/>
      <c r="D22" s="291"/>
      <c r="E22" s="291"/>
      <c r="F22" s="291"/>
      <c r="G22" s="291"/>
      <c r="H22" s="291"/>
      <c r="I22" s="291"/>
      <c r="J22" s="291"/>
      <c r="K22" s="291"/>
      <c r="L22" s="291"/>
      <c r="M22" s="291"/>
      <c r="N22" s="291"/>
      <c r="O22" s="292"/>
    </row>
  </sheetData>
  <hyperlinks>
    <hyperlink ref="F2" location="SU_A0600_BOM" display="Back to BOM"/>
    <hyperlink ref="B4" location="SU_A0600" display="SU_A0600"/>
  </hyperlinks>
  <pageMargins left="0.70866141732283472" right="0.70866141732283472" top="0.74803149606299213" bottom="0.74803149606299213" header="0.31496062992125984" footer="0.31496062992125984"/>
  <pageSetup paperSize="9" scale="54" fitToHeight="99" orientation="landscape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18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1.7628124999999999</v>
      </c>
      <c r="O5" s="62"/>
    </row>
    <row r="6" spans="1:16" x14ac:dyDescent="0.3">
      <c r="A6" s="102" t="s">
        <v>7</v>
      </c>
      <c r="B6" s="742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78">
        <v>10</v>
      </c>
      <c r="B11" s="676" t="s">
        <v>375</v>
      </c>
      <c r="C11" s="20" t="s">
        <v>416</v>
      </c>
      <c r="D11" s="283">
        <v>2.25</v>
      </c>
      <c r="E11" s="779">
        <f>L11*J11*K11</f>
        <v>0.176625</v>
      </c>
      <c r="F11" s="20" t="s">
        <v>212</v>
      </c>
      <c r="G11" s="20"/>
      <c r="H11" s="284"/>
      <c r="I11" s="21" t="s">
        <v>417</v>
      </c>
      <c r="J11" s="780">
        <f>125*60*10^-6</f>
        <v>7.4999999999999997E-3</v>
      </c>
      <c r="K11" s="679">
        <v>3.0000000000000001E-3</v>
      </c>
      <c r="L11" s="680">
        <v>7850</v>
      </c>
      <c r="M11" s="23">
        <v>1</v>
      </c>
      <c r="N11" s="283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1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2">
        <v>10</v>
      </c>
      <c r="B15" s="753" t="s">
        <v>418</v>
      </c>
      <c r="C15" s="753" t="s">
        <v>419</v>
      </c>
      <c r="D15" s="754">
        <v>1.3</v>
      </c>
      <c r="E15" s="753" t="s">
        <v>35</v>
      </c>
      <c r="F15" s="753">
        <v>1</v>
      </c>
      <c r="G15" s="783" t="s">
        <v>420</v>
      </c>
      <c r="H15" s="753">
        <v>0.25</v>
      </c>
      <c r="I15" s="754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2">
        <v>20</v>
      </c>
      <c r="B16" s="753" t="s">
        <v>421</v>
      </c>
      <c r="C16" s="753" t="s">
        <v>422</v>
      </c>
      <c r="D16" s="754">
        <v>0.01</v>
      </c>
      <c r="E16" s="753" t="s">
        <v>40</v>
      </c>
      <c r="F16" s="753">
        <v>5.3</v>
      </c>
      <c r="G16" s="753" t="s">
        <v>413</v>
      </c>
      <c r="H16" s="753">
        <v>3</v>
      </c>
      <c r="I16" s="754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70866141732283472" right="0.70866141732283472" top="0.74803149606299213" bottom="0.74803149606299213" header="0.31496062992125984" footer="0.31496062992125984"/>
  <pageSetup paperSize="9" scale="53" fitToHeight="99" orientation="landscape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1" t="s">
        <v>424</v>
      </c>
    </row>
  </sheetData>
  <hyperlinks>
    <hyperlink ref="B1" location="SU_06003" display="SU_06003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0"/>
  <sheetViews>
    <sheetView view="pageLayout" zoomScale="70" zoomScaleNormal="70" zoomScalePageLayoutView="70" workbookViewId="0">
      <selection activeCell="E32" sqref="E32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76"/>
      <c r="B1" s="275"/>
      <c r="C1" s="275"/>
      <c r="D1" s="275"/>
      <c r="E1" s="275"/>
      <c r="F1" s="275"/>
      <c r="G1" s="275"/>
      <c r="H1" s="275"/>
      <c r="I1" s="275"/>
      <c r="J1" s="275"/>
      <c r="K1" s="275"/>
      <c r="L1" s="275"/>
      <c r="M1" s="275"/>
      <c r="N1" s="275"/>
      <c r="O1" s="272"/>
    </row>
    <row r="2" spans="1:15" x14ac:dyDescent="0.3">
      <c r="A2" s="769" t="s">
        <v>0</v>
      </c>
      <c r="B2" s="16" t="s">
        <v>37</v>
      </c>
      <c r="C2" s="742"/>
      <c r="D2" s="742"/>
      <c r="E2" s="742"/>
      <c r="F2" s="88" t="s">
        <v>126</v>
      </c>
      <c r="G2" s="742"/>
      <c r="H2" s="742"/>
      <c r="I2" s="742"/>
      <c r="J2" s="770" t="s">
        <v>1</v>
      </c>
      <c r="K2" s="744">
        <v>81</v>
      </c>
      <c r="L2" s="742"/>
      <c r="M2" s="771" t="s">
        <v>16</v>
      </c>
      <c r="N2" s="745">
        <f>SU_06004_m+SU_06004_p</f>
        <v>2.2702062500000002</v>
      </c>
      <c r="O2" s="270"/>
    </row>
    <row r="3" spans="1:15" x14ac:dyDescent="0.3">
      <c r="A3" s="772" t="s">
        <v>3</v>
      </c>
      <c r="B3" s="16" t="str">
        <f>'SU A0600'!B3</f>
        <v>Suspension &amp; Shocks</v>
      </c>
      <c r="C3" s="742"/>
      <c r="D3" s="771" t="s">
        <v>6</v>
      </c>
      <c r="E3" s="742"/>
      <c r="F3" s="742"/>
      <c r="G3" s="742"/>
      <c r="H3" s="742"/>
      <c r="I3" s="742"/>
      <c r="J3" s="742"/>
      <c r="K3" s="742"/>
      <c r="L3" s="742"/>
      <c r="M3" s="773" t="s">
        <v>4</v>
      </c>
      <c r="N3" s="746">
        <v>2</v>
      </c>
      <c r="O3" s="270"/>
    </row>
    <row r="4" spans="1:15" x14ac:dyDescent="0.3">
      <c r="A4" s="772" t="s">
        <v>5</v>
      </c>
      <c r="B4" s="88" t="str">
        <f>'SU A0600'!B4</f>
        <v>Front Bell Crank</v>
      </c>
      <c r="C4" s="742"/>
      <c r="D4" s="773" t="s">
        <v>8</v>
      </c>
      <c r="E4" s="742"/>
      <c r="F4" s="742"/>
      <c r="G4" s="742"/>
      <c r="H4" s="742"/>
      <c r="I4" s="742"/>
      <c r="J4" s="771" t="s">
        <v>6</v>
      </c>
      <c r="K4" s="742"/>
      <c r="L4" s="742"/>
      <c r="M4" s="742"/>
      <c r="N4" s="742"/>
      <c r="O4" s="270"/>
    </row>
    <row r="5" spans="1:15" x14ac:dyDescent="0.3">
      <c r="A5" s="772" t="s">
        <v>15</v>
      </c>
      <c r="B5" s="747" t="s">
        <v>388</v>
      </c>
      <c r="C5" s="742"/>
      <c r="D5" s="773" t="s">
        <v>12</v>
      </c>
      <c r="E5" s="742"/>
      <c r="F5" s="742"/>
      <c r="G5" s="742"/>
      <c r="H5" s="742"/>
      <c r="I5" s="742"/>
      <c r="J5" s="773" t="s">
        <v>8</v>
      </c>
      <c r="K5" s="742"/>
      <c r="L5" s="742"/>
      <c r="M5" s="771" t="s">
        <v>9</v>
      </c>
      <c r="N5" s="745">
        <f>N2*N3</f>
        <v>4.5404125000000004</v>
      </c>
      <c r="O5" s="270"/>
    </row>
    <row r="6" spans="1:15" x14ac:dyDescent="0.3">
      <c r="A6" s="772" t="s">
        <v>7</v>
      </c>
      <c r="B6" s="742" t="s">
        <v>425</v>
      </c>
      <c r="C6" s="742"/>
      <c r="D6" s="742"/>
      <c r="E6" s="742"/>
      <c r="F6" s="742"/>
      <c r="G6" s="742"/>
      <c r="H6" s="742"/>
      <c r="I6" s="742"/>
      <c r="J6" s="773" t="s">
        <v>12</v>
      </c>
      <c r="K6" s="742"/>
      <c r="L6" s="742"/>
      <c r="M6" s="742"/>
      <c r="N6" s="742"/>
      <c r="O6" s="270"/>
    </row>
    <row r="7" spans="1:15" x14ac:dyDescent="0.3">
      <c r="A7" s="772" t="s">
        <v>10</v>
      </c>
      <c r="B7" s="16" t="s">
        <v>11</v>
      </c>
      <c r="C7" s="742"/>
      <c r="D7" s="742"/>
      <c r="E7" s="742"/>
      <c r="F7" s="742"/>
      <c r="G7" s="742"/>
      <c r="H7" s="742"/>
      <c r="I7" s="742"/>
      <c r="J7" s="742"/>
      <c r="K7" s="742"/>
      <c r="L7" s="742"/>
      <c r="M7" s="742"/>
      <c r="N7" s="742"/>
      <c r="O7" s="270"/>
    </row>
    <row r="8" spans="1:15" x14ac:dyDescent="0.3">
      <c r="A8" s="772" t="s">
        <v>13</v>
      </c>
      <c r="B8" s="16"/>
      <c r="C8" s="742"/>
      <c r="D8" s="742"/>
      <c r="E8" s="742"/>
      <c r="F8" s="742"/>
      <c r="G8" s="742"/>
      <c r="H8" s="742"/>
      <c r="I8" s="742"/>
      <c r="J8" s="742"/>
      <c r="K8" s="742"/>
      <c r="L8" s="742"/>
      <c r="M8" s="742"/>
      <c r="N8" s="742"/>
      <c r="O8" s="270"/>
    </row>
    <row r="9" spans="1:15" x14ac:dyDescent="0.3">
      <c r="A9" s="748"/>
      <c r="B9" s="742"/>
      <c r="C9" s="742"/>
      <c r="D9" s="742"/>
      <c r="E9" s="742"/>
      <c r="F9" s="742"/>
      <c r="G9" s="742"/>
      <c r="H9" s="742"/>
      <c r="I9" s="742"/>
      <c r="J9" s="742"/>
      <c r="K9" s="742"/>
      <c r="L9" s="742"/>
      <c r="M9" s="742"/>
      <c r="N9" s="742"/>
      <c r="O9" s="270"/>
    </row>
    <row r="10" spans="1:15" x14ac:dyDescent="0.3">
      <c r="A10" s="774" t="s">
        <v>14</v>
      </c>
      <c r="B10" s="775" t="s">
        <v>19</v>
      </c>
      <c r="C10" s="775" t="s">
        <v>20</v>
      </c>
      <c r="D10" s="750" t="s">
        <v>21</v>
      </c>
      <c r="E10" s="750" t="s">
        <v>22</v>
      </c>
      <c r="F10" s="750" t="s">
        <v>23</v>
      </c>
      <c r="G10" s="750" t="s">
        <v>24</v>
      </c>
      <c r="H10" s="750" t="s">
        <v>25</v>
      </c>
      <c r="I10" s="750" t="s">
        <v>26</v>
      </c>
      <c r="J10" s="750" t="s">
        <v>27</v>
      </c>
      <c r="K10" s="750" t="s">
        <v>28</v>
      </c>
      <c r="L10" s="750" t="s">
        <v>29</v>
      </c>
      <c r="M10" s="750" t="s">
        <v>17</v>
      </c>
      <c r="N10" s="750" t="s">
        <v>18</v>
      </c>
      <c r="O10" s="270"/>
    </row>
    <row r="11" spans="1:15" x14ac:dyDescent="0.3">
      <c r="A11" s="776">
        <v>10</v>
      </c>
      <c r="B11" s="777" t="s">
        <v>375</v>
      </c>
      <c r="C11" s="784" t="s">
        <v>376</v>
      </c>
      <c r="D11" s="754">
        <v>2.25</v>
      </c>
      <c r="E11" s="755">
        <f>J11*K11*L11</f>
        <v>5.1024999999999994E-2</v>
      </c>
      <c r="F11" s="753" t="s">
        <v>212</v>
      </c>
      <c r="G11" s="753"/>
      <c r="H11" s="756"/>
      <c r="I11" s="757" t="s">
        <v>426</v>
      </c>
      <c r="J11" s="757">
        <f>50*26*10^-6</f>
        <v>1.2999999999999999E-3</v>
      </c>
      <c r="K11" s="758">
        <v>5.0000000000000001E-3</v>
      </c>
      <c r="L11" s="759">
        <v>7850</v>
      </c>
      <c r="M11" s="759">
        <v>1</v>
      </c>
      <c r="N11" s="754">
        <f>D11*E11*M11</f>
        <v>0.11480624999999998</v>
      </c>
      <c r="O11" s="270"/>
    </row>
    <row r="12" spans="1:15" x14ac:dyDescent="0.3">
      <c r="A12" s="760"/>
      <c r="B12" s="761"/>
      <c r="C12" s="761"/>
      <c r="D12" s="761"/>
      <c r="E12" s="761"/>
      <c r="F12" s="761"/>
      <c r="G12" s="761"/>
      <c r="H12" s="761"/>
      <c r="I12" s="761"/>
      <c r="J12" s="761"/>
      <c r="K12" s="761"/>
      <c r="L12" s="761"/>
      <c r="M12" s="762" t="s">
        <v>18</v>
      </c>
      <c r="N12" s="763">
        <f>N11</f>
        <v>0.11480624999999998</v>
      </c>
      <c r="O12" s="270"/>
    </row>
    <row r="13" spans="1:15" x14ac:dyDescent="0.3">
      <c r="A13" s="748"/>
      <c r="B13" s="742"/>
      <c r="C13" s="742"/>
      <c r="D13" s="742"/>
      <c r="E13" s="742"/>
      <c r="F13" s="742"/>
      <c r="G13" s="742"/>
      <c r="H13" s="742"/>
      <c r="I13" s="742"/>
      <c r="J13" s="742"/>
      <c r="K13" s="742"/>
      <c r="L13" s="742"/>
      <c r="M13" s="742"/>
      <c r="N13" s="742"/>
      <c r="O13" s="270"/>
    </row>
    <row r="14" spans="1:15" x14ac:dyDescent="0.3">
      <c r="A14" s="749" t="s">
        <v>14</v>
      </c>
      <c r="B14" s="750" t="s">
        <v>31</v>
      </c>
      <c r="C14" s="750" t="s">
        <v>20</v>
      </c>
      <c r="D14" s="750" t="s">
        <v>21</v>
      </c>
      <c r="E14" s="750" t="s">
        <v>32</v>
      </c>
      <c r="F14" s="750" t="s">
        <v>17</v>
      </c>
      <c r="G14" s="750" t="s">
        <v>33</v>
      </c>
      <c r="H14" s="750" t="s">
        <v>34</v>
      </c>
      <c r="I14" s="750" t="s">
        <v>18</v>
      </c>
      <c r="J14" s="761"/>
      <c r="K14" s="761"/>
      <c r="L14" s="761"/>
      <c r="M14" s="761"/>
      <c r="N14" s="761"/>
      <c r="O14" s="270"/>
    </row>
    <row r="15" spans="1:15" x14ac:dyDescent="0.3">
      <c r="A15" s="751">
        <v>10</v>
      </c>
      <c r="B15" s="753" t="s">
        <v>418</v>
      </c>
      <c r="C15" s="753" t="s">
        <v>419</v>
      </c>
      <c r="D15" s="754">
        <v>1.3</v>
      </c>
      <c r="E15" s="753" t="s">
        <v>35</v>
      </c>
      <c r="F15" s="753">
        <v>1</v>
      </c>
      <c r="G15" s="753" t="s">
        <v>420</v>
      </c>
      <c r="H15" s="753">
        <v>0.25</v>
      </c>
      <c r="I15" s="754">
        <f>D15*F15*H15</f>
        <v>0.32500000000000001</v>
      </c>
      <c r="J15" s="742"/>
      <c r="K15" s="742"/>
      <c r="L15" s="742"/>
      <c r="M15" s="742"/>
      <c r="N15" s="742"/>
      <c r="O15" s="270"/>
    </row>
    <row r="16" spans="1:15" x14ac:dyDescent="0.3">
      <c r="A16" s="751">
        <v>20</v>
      </c>
      <c r="B16" s="753" t="s">
        <v>421</v>
      </c>
      <c r="C16" s="753" t="s">
        <v>422</v>
      </c>
      <c r="D16" s="754">
        <v>0.01</v>
      </c>
      <c r="E16" s="753" t="s">
        <v>40</v>
      </c>
      <c r="F16" s="753">
        <v>16</v>
      </c>
      <c r="G16" s="753" t="s">
        <v>413</v>
      </c>
      <c r="H16" s="753">
        <v>3</v>
      </c>
      <c r="I16" s="754">
        <f>D16*F16*H16</f>
        <v>0.48</v>
      </c>
      <c r="J16" s="742"/>
      <c r="K16" s="742"/>
      <c r="L16" s="742"/>
      <c r="M16" s="742"/>
      <c r="N16" s="742"/>
      <c r="O16" s="270"/>
    </row>
    <row r="17" spans="1:15" x14ac:dyDescent="0.3">
      <c r="A17" s="751">
        <v>30</v>
      </c>
      <c r="B17" s="753" t="s">
        <v>39</v>
      </c>
      <c r="C17" s="753"/>
      <c r="D17" s="754">
        <v>1.3</v>
      </c>
      <c r="E17" s="753" t="s">
        <v>35</v>
      </c>
      <c r="F17" s="753">
        <v>1</v>
      </c>
      <c r="G17" s="753"/>
      <c r="H17" s="753"/>
      <c r="I17" s="754">
        <v>1.3</v>
      </c>
      <c r="J17" s="761"/>
      <c r="K17" s="761"/>
      <c r="L17" s="761"/>
      <c r="M17" s="761"/>
      <c r="N17" s="761"/>
      <c r="O17" s="270"/>
    </row>
    <row r="18" spans="1:15" x14ac:dyDescent="0.3">
      <c r="A18" s="751">
        <v>40</v>
      </c>
      <c r="B18" s="753" t="s">
        <v>427</v>
      </c>
      <c r="C18" s="753" t="s">
        <v>409</v>
      </c>
      <c r="D18" s="754">
        <v>0.04</v>
      </c>
      <c r="E18" s="753" t="s">
        <v>161</v>
      </c>
      <c r="F18" s="753">
        <v>0.42</v>
      </c>
      <c r="G18" s="753" t="s">
        <v>413</v>
      </c>
      <c r="H18" s="753">
        <v>3</v>
      </c>
      <c r="I18" s="754">
        <f>D18*F18*H18</f>
        <v>5.04E-2</v>
      </c>
      <c r="J18" s="742"/>
      <c r="K18" s="742"/>
      <c r="L18" s="742"/>
      <c r="M18" s="742"/>
      <c r="N18" s="742"/>
      <c r="O18" s="270"/>
    </row>
    <row r="19" spans="1:15" x14ac:dyDescent="0.3">
      <c r="A19" s="760"/>
      <c r="B19" s="761"/>
      <c r="C19" s="761"/>
      <c r="D19" s="761"/>
      <c r="E19" s="761"/>
      <c r="F19" s="761"/>
      <c r="G19" s="761"/>
      <c r="H19" s="762" t="s">
        <v>18</v>
      </c>
      <c r="I19" s="764">
        <f>SUM(I15:I18)</f>
        <v>2.1554000000000002</v>
      </c>
      <c r="J19" s="56"/>
      <c r="K19" s="56"/>
      <c r="L19" s="56"/>
      <c r="M19" s="56"/>
      <c r="N19" s="56"/>
      <c r="O19" s="270"/>
    </row>
    <row r="20" spans="1:15" ht="15" thickBot="1" x14ac:dyDescent="0.35">
      <c r="A20" s="765"/>
      <c r="B20" s="766"/>
      <c r="C20" s="766"/>
      <c r="D20" s="766"/>
      <c r="E20" s="766"/>
      <c r="F20" s="766"/>
      <c r="G20" s="766"/>
      <c r="H20" s="785"/>
      <c r="I20" s="786"/>
      <c r="J20" s="291"/>
      <c r="K20" s="291"/>
      <c r="L20" s="291"/>
      <c r="M20" s="291"/>
      <c r="N20" s="291"/>
      <c r="O20" s="292"/>
    </row>
  </sheetData>
  <hyperlinks>
    <hyperlink ref="F2" location="SU_A0600_BOM" display="Back to BOM"/>
    <hyperlink ref="B4" location="SU_A0600" display="SU_A0600"/>
  </hyperlinks>
  <pageMargins left="0.70866141732283472" right="0.70866141732283472" top="0.74803149606299213" bottom="0.74803149606299213" header="0.31496062992125984" footer="0.31496062992125984"/>
  <pageSetup paperSize="9" scale="50" fitToHeight="99" orientation="landscape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47"/>
      <c r="B1" s="848"/>
      <c r="C1" s="848"/>
      <c r="D1" s="848"/>
      <c r="E1" s="848"/>
      <c r="F1" s="848"/>
      <c r="G1" s="848"/>
      <c r="H1" s="848"/>
      <c r="I1" s="848"/>
      <c r="J1" s="848"/>
      <c r="K1" s="848"/>
      <c r="L1" s="848"/>
      <c r="M1" s="848"/>
      <c r="N1" s="848"/>
      <c r="O1" s="849"/>
    </row>
    <row r="2" spans="1:15" x14ac:dyDescent="0.3">
      <c r="A2" s="714" t="s">
        <v>0</v>
      </c>
      <c r="B2" s="16" t="s">
        <v>37</v>
      </c>
      <c r="C2" s="57"/>
      <c r="D2" s="57"/>
      <c r="E2" s="850" t="s">
        <v>126</v>
      </c>
      <c r="F2" s="57"/>
      <c r="G2" s="57"/>
      <c r="H2" s="57"/>
      <c r="I2" s="57"/>
      <c r="J2" s="98" t="s">
        <v>1</v>
      </c>
      <c r="K2" s="83">
        <v>81</v>
      </c>
      <c r="L2" s="57"/>
      <c r="M2" s="98" t="s">
        <v>2</v>
      </c>
      <c r="N2" s="95">
        <f>SU_A0700_pa+SU_A0700_m+SU_A0700_p+SU_A0700_f+SU_A0700_t</f>
        <v>340.94452558086874</v>
      </c>
      <c r="O2" s="734"/>
    </row>
    <row r="3" spans="1:15" x14ac:dyDescent="0.3">
      <c r="A3" s="714" t="s">
        <v>3</v>
      </c>
      <c r="B3" s="16" t="s">
        <v>129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8" t="s">
        <v>4</v>
      </c>
      <c r="N3" s="82">
        <v>2</v>
      </c>
      <c r="O3" s="734"/>
    </row>
    <row r="4" spans="1:15" x14ac:dyDescent="0.3">
      <c r="A4" s="714" t="s">
        <v>5</v>
      </c>
      <c r="B4" s="57" t="s">
        <v>428</v>
      </c>
      <c r="C4" s="57"/>
      <c r="D4" s="57"/>
      <c r="E4" s="57"/>
      <c r="F4" s="57"/>
      <c r="G4" s="57"/>
      <c r="H4" s="57"/>
      <c r="I4" s="57"/>
      <c r="J4" s="99" t="s">
        <v>6</v>
      </c>
      <c r="K4" s="57"/>
      <c r="L4" s="57"/>
      <c r="M4" s="57"/>
      <c r="N4" s="57"/>
      <c r="O4" s="734"/>
    </row>
    <row r="5" spans="1:15" x14ac:dyDescent="0.3">
      <c r="A5" s="714" t="s">
        <v>7</v>
      </c>
      <c r="B5" s="18" t="s">
        <v>429</v>
      </c>
      <c r="C5" s="57"/>
      <c r="D5" s="57"/>
      <c r="E5" s="57"/>
      <c r="F5" s="57"/>
      <c r="G5" s="57"/>
      <c r="H5" s="57"/>
      <c r="I5" s="57"/>
      <c r="J5" s="99" t="s">
        <v>8</v>
      </c>
      <c r="K5" s="57"/>
      <c r="L5" s="57"/>
      <c r="M5" s="98" t="s">
        <v>9</v>
      </c>
      <c r="N5" s="74">
        <f>N2*N3</f>
        <v>681.88905116173748</v>
      </c>
      <c r="O5" s="734"/>
    </row>
    <row r="6" spans="1:15" x14ac:dyDescent="0.3">
      <c r="A6" s="714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9" t="s">
        <v>12</v>
      </c>
      <c r="K6" s="57"/>
      <c r="L6" s="57"/>
      <c r="M6" s="57"/>
      <c r="N6" s="57"/>
      <c r="O6" s="734"/>
    </row>
    <row r="7" spans="1:15" x14ac:dyDescent="0.3">
      <c r="A7" s="714" t="s">
        <v>13</v>
      </c>
      <c r="B7" s="851" t="s">
        <v>430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34"/>
    </row>
    <row r="8" spans="1:15" x14ac:dyDescent="0.3">
      <c r="A8" s="852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34"/>
    </row>
    <row r="9" spans="1:15" x14ac:dyDescent="0.3">
      <c r="A9" s="717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34"/>
    </row>
    <row r="10" spans="1:15" x14ac:dyDescent="0.3">
      <c r="A10" s="787">
        <v>10</v>
      </c>
      <c r="B10" s="466" t="s">
        <v>431</v>
      </c>
      <c r="C10" s="579">
        <f>'SU 07001'!N2</f>
        <v>5.9234014172552163</v>
      </c>
      <c r="D10" s="645">
        <f>SU_07001_q</f>
        <v>1</v>
      </c>
      <c r="E10" s="579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34"/>
    </row>
    <row r="11" spans="1:15" x14ac:dyDescent="0.3">
      <c r="A11" s="852"/>
      <c r="B11" s="57"/>
      <c r="C11" s="57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34"/>
    </row>
    <row r="12" spans="1:15" x14ac:dyDescent="0.3">
      <c r="A12" s="852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34"/>
    </row>
    <row r="13" spans="1:15" x14ac:dyDescent="0.3">
      <c r="A13" s="717" t="s">
        <v>14</v>
      </c>
      <c r="B13" s="644" t="s">
        <v>19</v>
      </c>
      <c r="C13" s="644" t="s">
        <v>20</v>
      </c>
      <c r="D13" s="644" t="s">
        <v>21</v>
      </c>
      <c r="E13" s="644" t="s">
        <v>22</v>
      </c>
      <c r="F13" s="644" t="s">
        <v>23</v>
      </c>
      <c r="G13" s="644" t="s">
        <v>24</v>
      </c>
      <c r="H13" s="644" t="s">
        <v>25</v>
      </c>
      <c r="I13" s="644" t="s">
        <v>26</v>
      </c>
      <c r="J13" s="644" t="s">
        <v>27</v>
      </c>
      <c r="K13" s="644" t="s">
        <v>28</v>
      </c>
      <c r="L13" s="644" t="s">
        <v>29</v>
      </c>
      <c r="M13" s="644" t="s">
        <v>17</v>
      </c>
      <c r="N13" s="644" t="s">
        <v>18</v>
      </c>
      <c r="O13" s="734"/>
    </row>
    <row r="14" spans="1:15" x14ac:dyDescent="0.3">
      <c r="A14" s="787">
        <v>10</v>
      </c>
      <c r="B14" s="576" t="s">
        <v>347</v>
      </c>
      <c r="C14" s="576"/>
      <c r="D14" s="579">
        <v>305</v>
      </c>
      <c r="E14" s="576"/>
      <c r="F14" s="576" t="s">
        <v>35</v>
      </c>
      <c r="G14" s="576"/>
      <c r="H14" s="580"/>
      <c r="I14" s="646"/>
      <c r="J14" s="647"/>
      <c r="K14" s="580"/>
      <c r="L14" s="580"/>
      <c r="M14" s="582">
        <v>1</v>
      </c>
      <c r="N14" s="579">
        <f>D14*M14</f>
        <v>305</v>
      </c>
      <c r="O14" s="734"/>
    </row>
    <row r="15" spans="1:15" s="22" customFormat="1" x14ac:dyDescent="0.3">
      <c r="A15" s="787">
        <v>20</v>
      </c>
      <c r="B15" s="576" t="s">
        <v>348</v>
      </c>
      <c r="C15" s="648"/>
      <c r="D15" s="579">
        <v>25</v>
      </c>
      <c r="E15" s="649"/>
      <c r="F15" s="649" t="s">
        <v>35</v>
      </c>
      <c r="G15" s="649"/>
      <c r="H15" s="580"/>
      <c r="I15" s="650"/>
      <c r="J15" s="651"/>
      <c r="K15" s="652"/>
      <c r="L15" s="853"/>
      <c r="M15" s="582">
        <v>1</v>
      </c>
      <c r="N15" s="579">
        <f>D15*M15</f>
        <v>25</v>
      </c>
      <c r="O15" s="854"/>
    </row>
    <row r="16" spans="1:15" x14ac:dyDescent="0.3">
      <c r="A16" s="855">
        <v>30</v>
      </c>
      <c r="B16" s="856" t="s">
        <v>349</v>
      </c>
      <c r="C16" s="857"/>
      <c r="D16" s="579">
        <v>0</v>
      </c>
      <c r="E16" s="857"/>
      <c r="F16" s="857" t="s">
        <v>35</v>
      </c>
      <c r="G16" s="857"/>
      <c r="H16" s="857"/>
      <c r="I16" s="857"/>
      <c r="J16" s="857"/>
      <c r="K16" s="857"/>
      <c r="L16" s="857"/>
      <c r="M16" s="857">
        <v>2</v>
      </c>
      <c r="N16" s="579">
        <f>D16*M16</f>
        <v>0</v>
      </c>
      <c r="O16" s="734"/>
    </row>
    <row r="17" spans="1:15" x14ac:dyDescent="0.3">
      <c r="A17" s="855">
        <v>40</v>
      </c>
      <c r="B17" s="856" t="s">
        <v>350</v>
      </c>
      <c r="C17" s="857" t="s">
        <v>432</v>
      </c>
      <c r="D17" s="579">
        <v>10</v>
      </c>
      <c r="E17" s="857">
        <v>4.0000000000000001E-3</v>
      </c>
      <c r="F17" s="857" t="s">
        <v>276</v>
      </c>
      <c r="G17" s="857"/>
      <c r="H17" s="857"/>
      <c r="I17" s="857"/>
      <c r="J17" s="857"/>
      <c r="K17" s="857"/>
      <c r="L17" s="857"/>
      <c r="M17" s="857">
        <v>1</v>
      </c>
      <c r="N17" s="579">
        <f>D17*E17*M17</f>
        <v>0.04</v>
      </c>
      <c r="O17" s="734"/>
    </row>
    <row r="18" spans="1:15" x14ac:dyDescent="0.3">
      <c r="A18" s="730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55" t="s">
        <v>18</v>
      </c>
      <c r="N18" s="244">
        <f>SUM(N14:N17)</f>
        <v>330.04</v>
      </c>
      <c r="O18" s="734"/>
    </row>
    <row r="19" spans="1:15" x14ac:dyDescent="0.3">
      <c r="A19" s="852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34"/>
    </row>
    <row r="20" spans="1:15" s="25" customFormat="1" x14ac:dyDescent="0.3">
      <c r="A20" s="714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858"/>
    </row>
    <row r="21" spans="1:15" s="25" customFormat="1" x14ac:dyDescent="0.3">
      <c r="A21" s="859">
        <v>10</v>
      </c>
      <c r="B21" s="860" t="s">
        <v>352</v>
      </c>
      <c r="C21" s="861" t="s">
        <v>433</v>
      </c>
      <c r="D21" s="861">
        <v>0.38</v>
      </c>
      <c r="E21" s="861" t="s">
        <v>40</v>
      </c>
      <c r="F21" s="861">
        <f>2*1.7</f>
        <v>3.4</v>
      </c>
      <c r="G21" s="861"/>
      <c r="H21" s="861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58"/>
    </row>
    <row r="22" spans="1:15" s="25" customFormat="1" x14ac:dyDescent="0.3">
      <c r="A22" s="862">
        <v>20</v>
      </c>
      <c r="B22" s="863" t="s">
        <v>354</v>
      </c>
      <c r="C22" s="863" t="s">
        <v>434</v>
      </c>
      <c r="D22" s="259">
        <v>5.25</v>
      </c>
      <c r="E22" s="864" t="s">
        <v>276</v>
      </c>
      <c r="F22" s="864">
        <v>4.0000000000000001E-3</v>
      </c>
      <c r="G22" s="861"/>
      <c r="H22" s="861"/>
      <c r="I22" s="74">
        <f t="shared" si="0"/>
        <v>2.1000000000000001E-2</v>
      </c>
      <c r="J22" s="24"/>
      <c r="K22" s="24"/>
      <c r="L22" s="24"/>
      <c r="M22" s="24"/>
      <c r="N22" s="24"/>
      <c r="O22" s="858"/>
    </row>
    <row r="23" spans="1:15" x14ac:dyDescent="0.3">
      <c r="A23" s="725">
        <v>30</v>
      </c>
      <c r="B23" s="860" t="s">
        <v>356</v>
      </c>
      <c r="C23" s="72" t="s">
        <v>357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34"/>
    </row>
    <row r="24" spans="1:15" x14ac:dyDescent="0.3">
      <c r="A24" s="735">
        <v>40</v>
      </c>
      <c r="B24" s="865" t="s">
        <v>358</v>
      </c>
      <c r="C24" s="238" t="s">
        <v>359</v>
      </c>
      <c r="D24" s="240">
        <v>2</v>
      </c>
      <c r="E24" s="866" t="s">
        <v>35</v>
      </c>
      <c r="F24" s="238">
        <v>2</v>
      </c>
      <c r="G24" s="238"/>
      <c r="H24" s="238"/>
      <c r="I24" s="240">
        <f t="shared" si="0"/>
        <v>4</v>
      </c>
      <c r="J24" s="57"/>
      <c r="K24" s="57"/>
      <c r="L24" s="57"/>
      <c r="M24" s="57"/>
      <c r="N24" s="57"/>
      <c r="O24" s="734"/>
    </row>
    <row r="25" spans="1:15" x14ac:dyDescent="0.3">
      <c r="A25" s="718">
        <v>50</v>
      </c>
      <c r="B25" s="867" t="s">
        <v>360</v>
      </c>
      <c r="C25" s="867" t="s">
        <v>361</v>
      </c>
      <c r="D25" s="283">
        <v>0.06</v>
      </c>
      <c r="E25" s="682" t="s">
        <v>35</v>
      </c>
      <c r="F25" s="682">
        <v>2</v>
      </c>
      <c r="G25" s="682"/>
      <c r="H25" s="682"/>
      <c r="I25" s="283">
        <f t="shared" si="0"/>
        <v>0.12</v>
      </c>
      <c r="J25" s="57"/>
      <c r="K25" s="57"/>
      <c r="L25" s="57"/>
      <c r="M25" s="57"/>
      <c r="N25" s="57"/>
      <c r="O25" s="734"/>
    </row>
    <row r="26" spans="1:15" s="17" customFormat="1" x14ac:dyDescent="0.3">
      <c r="A26" s="718">
        <v>60</v>
      </c>
      <c r="B26" s="867" t="s">
        <v>360</v>
      </c>
      <c r="C26" s="867" t="s">
        <v>362</v>
      </c>
      <c r="D26" s="283">
        <v>0.06</v>
      </c>
      <c r="E26" s="682" t="s">
        <v>35</v>
      </c>
      <c r="F26" s="682">
        <v>2</v>
      </c>
      <c r="G26" s="682"/>
      <c r="H26" s="682"/>
      <c r="I26" s="283">
        <f t="shared" si="0"/>
        <v>0.12</v>
      </c>
      <c r="J26" s="57"/>
      <c r="K26" s="57"/>
      <c r="L26" s="57"/>
      <c r="M26" s="57"/>
      <c r="N26" s="57"/>
      <c r="O26" s="734"/>
    </row>
    <row r="27" spans="1:15" s="25" customFormat="1" x14ac:dyDescent="0.3">
      <c r="A27" s="718">
        <v>70</v>
      </c>
      <c r="B27" s="255" t="s">
        <v>363</v>
      </c>
      <c r="C27" s="867" t="s">
        <v>435</v>
      </c>
      <c r="D27" s="283">
        <v>0.12</v>
      </c>
      <c r="E27" s="682" t="s">
        <v>35</v>
      </c>
      <c r="F27" s="682">
        <v>2</v>
      </c>
      <c r="G27" s="682"/>
      <c r="H27" s="682"/>
      <c r="I27" s="283">
        <f t="shared" si="0"/>
        <v>0.24</v>
      </c>
      <c r="J27" s="57"/>
      <c r="K27" s="57"/>
      <c r="L27" s="57"/>
      <c r="M27" s="57"/>
      <c r="N27" s="57"/>
      <c r="O27" s="858"/>
    </row>
    <row r="28" spans="1:15" s="25" customFormat="1" x14ac:dyDescent="0.3">
      <c r="A28" s="718">
        <v>80</v>
      </c>
      <c r="B28" s="255" t="s">
        <v>363</v>
      </c>
      <c r="C28" s="867" t="s">
        <v>365</v>
      </c>
      <c r="D28" s="283">
        <v>0.12</v>
      </c>
      <c r="E28" s="682" t="s">
        <v>35</v>
      </c>
      <c r="F28" s="682">
        <v>2</v>
      </c>
      <c r="G28" s="682"/>
      <c r="H28" s="682"/>
      <c r="I28" s="283">
        <f t="shared" si="0"/>
        <v>0.24</v>
      </c>
      <c r="J28" s="57"/>
      <c r="K28" s="57"/>
      <c r="L28" s="57"/>
      <c r="M28" s="57"/>
      <c r="N28" s="57"/>
      <c r="O28" s="858"/>
    </row>
    <row r="29" spans="1:15" s="17" customFormat="1" x14ac:dyDescent="0.3">
      <c r="A29" s="718">
        <v>90</v>
      </c>
      <c r="B29" s="255" t="s">
        <v>366</v>
      </c>
      <c r="C29" s="867" t="s">
        <v>367</v>
      </c>
      <c r="D29" s="283">
        <v>0.75</v>
      </c>
      <c r="E29" s="868" t="s">
        <v>35</v>
      </c>
      <c r="F29" s="682">
        <v>2</v>
      </c>
      <c r="G29" s="682"/>
      <c r="H29" s="682"/>
      <c r="I29" s="283">
        <f t="shared" si="0"/>
        <v>1.5</v>
      </c>
      <c r="J29" s="57"/>
      <c r="K29" s="57"/>
      <c r="L29" s="57"/>
      <c r="M29" s="57"/>
      <c r="N29" s="57"/>
      <c r="O29" s="734"/>
    </row>
    <row r="30" spans="1:15" s="17" customFormat="1" x14ac:dyDescent="0.3">
      <c r="A30" s="718">
        <v>100</v>
      </c>
      <c r="B30" s="255" t="s">
        <v>368</v>
      </c>
      <c r="C30" s="867" t="s">
        <v>367</v>
      </c>
      <c r="D30" s="283">
        <v>0.25</v>
      </c>
      <c r="E30" s="868" t="s">
        <v>35</v>
      </c>
      <c r="F30" s="682">
        <v>2</v>
      </c>
      <c r="G30" s="682"/>
      <c r="H30" s="682"/>
      <c r="I30" s="283">
        <f t="shared" si="0"/>
        <v>0.5</v>
      </c>
      <c r="J30" s="57"/>
      <c r="K30" s="57"/>
      <c r="L30" s="57"/>
      <c r="M30" s="57"/>
      <c r="N30" s="57"/>
      <c r="O30" s="734"/>
    </row>
    <row r="31" spans="1:15" x14ac:dyDescent="0.3">
      <c r="A31" s="730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7"/>
      <c r="K31" s="57"/>
      <c r="L31" s="57"/>
      <c r="M31" s="57"/>
      <c r="N31" s="57"/>
      <c r="O31" s="734"/>
    </row>
    <row r="32" spans="1:15" x14ac:dyDescent="0.3">
      <c r="A32" s="852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34"/>
    </row>
    <row r="33" spans="1:15" x14ac:dyDescent="0.3">
      <c r="A33" s="714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7"/>
      <c r="L33" s="57"/>
      <c r="M33" s="57"/>
      <c r="N33" s="57"/>
      <c r="O33" s="734"/>
    </row>
    <row r="34" spans="1:15" x14ac:dyDescent="0.3">
      <c r="A34" s="725">
        <v>10</v>
      </c>
      <c r="B34" s="72" t="s">
        <v>369</v>
      </c>
      <c r="C34" s="72" t="s">
        <v>436</v>
      </c>
      <c r="D34" s="670">
        <f>0.8/105154*E34^2*G34*SQRT(G34)+0.003*EXP(0.319*E34)</f>
        <v>0.13931812332052654</v>
      </c>
      <c r="E34" s="671">
        <v>8</v>
      </c>
      <c r="F34" s="671" t="s">
        <v>30</v>
      </c>
      <c r="G34" s="671">
        <v>35</v>
      </c>
      <c r="H34" s="671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34"/>
    </row>
    <row r="35" spans="1:15" x14ac:dyDescent="0.3">
      <c r="A35" s="725">
        <v>20</v>
      </c>
      <c r="B35" s="72" t="s">
        <v>371</v>
      </c>
      <c r="C35" s="72" t="s">
        <v>436</v>
      </c>
      <c r="D35" s="670">
        <v>0.01</v>
      </c>
      <c r="E35" s="72">
        <v>8</v>
      </c>
      <c r="F35" s="672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34"/>
    </row>
    <row r="36" spans="1:15" x14ac:dyDescent="0.3">
      <c r="A36" s="725">
        <v>30</v>
      </c>
      <c r="B36" s="72" t="s">
        <v>372</v>
      </c>
      <c r="C36" s="72" t="s">
        <v>436</v>
      </c>
      <c r="D36" s="670">
        <f>0.009*EXP(0.2*E36)</f>
        <v>4.4577291819556032E-2</v>
      </c>
      <c r="E36" s="72">
        <v>8</v>
      </c>
      <c r="F36" s="672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34"/>
    </row>
    <row r="37" spans="1:15" x14ac:dyDescent="0.3">
      <c r="A37" s="730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7"/>
      <c r="L37" s="57"/>
      <c r="M37" s="57"/>
      <c r="N37" s="57"/>
      <c r="O37" s="734"/>
    </row>
    <row r="38" spans="1:15" x14ac:dyDescent="0.3">
      <c r="A38" s="852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34"/>
    </row>
    <row r="39" spans="1:15" x14ac:dyDescent="0.3">
      <c r="A39" s="714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7"/>
      <c r="L39" s="57"/>
      <c r="M39" s="57"/>
      <c r="N39" s="57"/>
      <c r="O39" s="734"/>
    </row>
    <row r="40" spans="1:15" x14ac:dyDescent="0.3">
      <c r="A40" s="725">
        <v>10</v>
      </c>
      <c r="B40" s="72" t="s">
        <v>253</v>
      </c>
      <c r="C40" s="869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34"/>
    </row>
    <row r="41" spans="1:15" x14ac:dyDescent="0.3">
      <c r="A41" s="730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7"/>
      <c r="L41" s="57"/>
      <c r="M41" s="57"/>
      <c r="N41" s="57"/>
      <c r="O41" s="734"/>
    </row>
    <row r="42" spans="1:15" ht="15" thickBot="1" x14ac:dyDescent="0.35">
      <c r="A42" s="870"/>
      <c r="B42" s="871"/>
      <c r="C42" s="871"/>
      <c r="D42" s="871"/>
      <c r="E42" s="871"/>
      <c r="F42" s="871"/>
      <c r="G42" s="871"/>
      <c r="H42" s="871"/>
      <c r="I42" s="871"/>
      <c r="J42" s="871"/>
      <c r="K42" s="871"/>
      <c r="L42" s="871"/>
      <c r="M42" s="871"/>
      <c r="N42" s="871"/>
      <c r="O42" s="872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74"/>
      <c r="D46" s="674"/>
      <c r="E46" s="56"/>
      <c r="F46" s="56"/>
    </row>
    <row r="47" spans="1:15" x14ac:dyDescent="0.3">
      <c r="B47" s="56"/>
      <c r="C47" s="674"/>
      <c r="D47" s="674"/>
      <c r="E47" s="56"/>
      <c r="F47" s="56"/>
    </row>
    <row r="48" spans="1:15" x14ac:dyDescent="0.3">
      <c r="B48" s="56"/>
      <c r="C48" s="675"/>
      <c r="D48" s="674"/>
      <c r="E48" s="56"/>
      <c r="F48" s="56"/>
    </row>
    <row r="49" spans="2:6" x14ac:dyDescent="0.3">
      <c r="B49" s="56"/>
      <c r="C49" s="675"/>
      <c r="D49" s="674"/>
      <c r="E49" s="56"/>
      <c r="F49" s="56"/>
    </row>
    <row r="50" spans="2:6" x14ac:dyDescent="0.3">
      <c r="B50" s="56"/>
      <c r="C50" s="675"/>
      <c r="D50" s="674"/>
      <c r="E50" s="56"/>
      <c r="F50" s="56"/>
    </row>
    <row r="51" spans="2:6" x14ac:dyDescent="0.3">
      <c r="B51" s="56"/>
      <c r="C51" s="675"/>
      <c r="D51" s="674"/>
      <c r="E51" s="56"/>
      <c r="F51" s="56"/>
    </row>
    <row r="52" spans="2:6" x14ac:dyDescent="0.3">
      <c r="B52" s="56"/>
      <c r="C52" s="675"/>
      <c r="D52" s="674"/>
      <c r="E52" s="56"/>
      <c r="F52" s="56"/>
    </row>
  </sheetData>
  <hyperlinks>
    <hyperlink ref="B10" location="SU_07001" display="Shock Rear Bracket"/>
    <hyperlink ref="E2" location="SU_A0700_BOM" display="Back to BOM"/>
  </hyperlinks>
  <pageMargins left="0.70866141732283472" right="0.70866141732283472" top="0.74803149606299213" bottom="0.74803149606299213" header="0.31496062992125984" footer="0.31496062992125984"/>
  <pageSetup paperSize="9" scale="69" firstPageNumber="0" fitToHeight="99" orientation="landscape" r:id="rId1"/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view="pageLayout" zoomScale="70" zoomScaleNormal="75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1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76" t="s">
        <v>375</v>
      </c>
      <c r="C11" s="20" t="s">
        <v>376</v>
      </c>
      <c r="D11" s="283">
        <v>2.25</v>
      </c>
      <c r="E11" s="677">
        <f>J11*K11*L11</f>
        <v>0.17182285211342935</v>
      </c>
      <c r="F11" s="20" t="s">
        <v>212</v>
      </c>
      <c r="G11" s="20"/>
      <c r="H11" s="284"/>
      <c r="I11" s="21" t="s">
        <v>377</v>
      </c>
      <c r="J11" s="678">
        <f>PI()*0.0155^2</f>
        <v>7.5476763502494771E-4</v>
      </c>
      <c r="K11" s="679">
        <v>2.9000000000000001E-2</v>
      </c>
      <c r="L11" s="680">
        <v>7850</v>
      </c>
      <c r="M11" s="23">
        <v>1</v>
      </c>
      <c r="N11" s="283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1"/>
      <c r="L14" s="24"/>
      <c r="M14" s="24"/>
      <c r="N14" s="24"/>
      <c r="O14" s="62"/>
    </row>
    <row r="15" spans="1:15" s="25" customFormat="1" x14ac:dyDescent="0.3">
      <c r="A15" s="789">
        <v>10</v>
      </c>
      <c r="B15" s="688" t="s">
        <v>39</v>
      </c>
      <c r="C15" s="687" t="s">
        <v>134</v>
      </c>
      <c r="D15" s="283">
        <v>1.3</v>
      </c>
      <c r="E15" s="688" t="s">
        <v>35</v>
      </c>
      <c r="F15" s="687">
        <v>1</v>
      </c>
      <c r="G15" s="687"/>
      <c r="H15" s="687"/>
      <c r="I15" s="283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88" t="s">
        <v>159</v>
      </c>
      <c r="C16" s="20" t="s">
        <v>378</v>
      </c>
      <c r="D16" s="283">
        <v>0.04</v>
      </c>
      <c r="E16" s="20" t="s">
        <v>161</v>
      </c>
      <c r="F16" s="790">
        <v>2.64</v>
      </c>
      <c r="G16" s="688" t="s">
        <v>379</v>
      </c>
      <c r="H16" s="687">
        <v>3</v>
      </c>
      <c r="I16" s="283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89">
        <v>20</v>
      </c>
      <c r="B17" s="688" t="s">
        <v>380</v>
      </c>
      <c r="C17" s="687"/>
      <c r="D17" s="283">
        <v>0.65</v>
      </c>
      <c r="E17" s="688"/>
      <c r="F17" s="687">
        <v>1</v>
      </c>
      <c r="G17" s="687"/>
      <c r="H17" s="687"/>
      <c r="I17" s="283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88" t="s">
        <v>159</v>
      </c>
      <c r="C18" s="20" t="s">
        <v>378</v>
      </c>
      <c r="D18" s="283">
        <v>0.04</v>
      </c>
      <c r="E18" s="20" t="s">
        <v>161</v>
      </c>
      <c r="F18" s="790">
        <v>9.1999999999999993</v>
      </c>
      <c r="G18" s="688" t="s">
        <v>379</v>
      </c>
      <c r="H18" s="687">
        <v>3</v>
      </c>
      <c r="I18" s="283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89">
        <v>22</v>
      </c>
      <c r="B19" s="688" t="s">
        <v>380</v>
      </c>
      <c r="C19" s="687"/>
      <c r="D19" s="283">
        <v>0.65</v>
      </c>
      <c r="E19" s="688"/>
      <c r="F19" s="687">
        <v>1</v>
      </c>
      <c r="G19" s="687"/>
      <c r="H19" s="687"/>
      <c r="I19" s="283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88" t="s">
        <v>159</v>
      </c>
      <c r="C20" s="20" t="s">
        <v>378</v>
      </c>
      <c r="D20" s="283">
        <v>0.04</v>
      </c>
      <c r="E20" s="20" t="s">
        <v>161</v>
      </c>
      <c r="F20" s="790">
        <v>6.8</v>
      </c>
      <c r="G20" s="688" t="s">
        <v>379</v>
      </c>
      <c r="H20" s="687">
        <v>3</v>
      </c>
      <c r="I20" s="283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89" t="s">
        <v>381</v>
      </c>
      <c r="C21" s="20" t="s">
        <v>378</v>
      </c>
      <c r="D21" s="283">
        <v>0.35</v>
      </c>
      <c r="E21" s="20" t="s">
        <v>271</v>
      </c>
      <c r="F21" s="790">
        <v>2</v>
      </c>
      <c r="G21" s="688"/>
      <c r="H21" s="791"/>
      <c r="I21" s="684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0866141732283472" right="0.70866141732283472" top="0.74803149606299213" bottom="0.74803149606299213" header="0.31496062992125984" footer="0.31496062992125984"/>
  <pageSetup paperSize="9" scale="76" firstPageNumber="0" fitToHeight="99" orientation="landscape" r:id="rId1"/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view="pageLayout" zoomScale="70" zoomScaleNormal="100" zoomScalePageLayoutView="70" workbookViewId="0">
      <selection activeCell="E32" sqref="E3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1" t="s">
        <v>439</v>
      </c>
    </row>
  </sheetData>
  <hyperlinks>
    <hyperlink ref="B1" location="SU_07001" display="SU_07001"/>
  </hyperlinks>
  <pageMargins left="0.70866141732283472" right="0.70866141732283472" top="0.74803149606299213" bottom="0.74803149606299213" header="0.31496062992125984" footer="0.31496062992125984"/>
  <pageSetup paperSize="9" fitToHeight="99" orientation="landscape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view="pageLayout" zoomScale="70" zoomScaleNormal="75" zoomScaleSheetLayoutView="80" zoomScalePageLayoutView="70" workbookViewId="0">
      <selection activeCell="E32" sqref="E3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SU_A0800_pa+SU_A0800_m+SU_A0800_p+SU_A0800_f+SU_A0800_t</f>
        <v>15.066700055803517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442</v>
      </c>
      <c r="C4" s="715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443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N2*SU_A0800_q</f>
        <v>30.133400111607035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444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44" t="s">
        <v>14</v>
      </c>
      <c r="B9" s="644" t="s">
        <v>15</v>
      </c>
      <c r="C9" s="644" t="s">
        <v>16</v>
      </c>
      <c r="D9" s="644" t="s">
        <v>17</v>
      </c>
      <c r="E9" s="644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2">
        <v>10</v>
      </c>
      <c r="B10" s="719" t="s">
        <v>385</v>
      </c>
      <c r="C10" s="283">
        <f>'SU 08001'!N2</f>
        <v>1.3710986506763019</v>
      </c>
      <c r="D10" s="845">
        <f>SU_08001_q</f>
        <v>2</v>
      </c>
      <c r="E10" s="283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2">
        <v>20</v>
      </c>
      <c r="B11" s="722" t="s">
        <v>387</v>
      </c>
      <c r="C11" s="283">
        <f>'SU 08002'!N2</f>
        <v>2.0644187499999997</v>
      </c>
      <c r="D11" s="845">
        <f>SU_08002_q</f>
        <v>2</v>
      </c>
      <c r="E11" s="283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3">
        <v>30</v>
      </c>
      <c r="B12" s="719" t="s">
        <v>441</v>
      </c>
      <c r="C12" s="283">
        <f>'SU 08003'!N2</f>
        <v>3.3779399999999997</v>
      </c>
      <c r="D12" s="845">
        <f>SU_08003_q</f>
        <v>1</v>
      </c>
      <c r="E12" s="283">
        <f>C12*D12</f>
        <v>3.3779399999999997</v>
      </c>
    </row>
    <row r="13" spans="1:15" x14ac:dyDescent="0.3">
      <c r="A13" s="63"/>
      <c r="B13" s="56"/>
      <c r="C13" s="56"/>
      <c r="D13" s="265" t="s">
        <v>18</v>
      </c>
      <c r="E13" s="24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8" t="s">
        <v>14</v>
      </c>
      <c r="B15" s="98" t="s">
        <v>19</v>
      </c>
      <c r="C15" s="98" t="s">
        <v>20</v>
      </c>
      <c r="D15" s="98" t="s">
        <v>21</v>
      </c>
      <c r="E15" s="98" t="s">
        <v>22</v>
      </c>
      <c r="F15" s="98" t="s">
        <v>23</v>
      </c>
      <c r="G15" s="98" t="s">
        <v>24</v>
      </c>
      <c r="H15" s="98" t="s">
        <v>25</v>
      </c>
      <c r="I15" s="98" t="s">
        <v>26</v>
      </c>
      <c r="J15" s="98" t="s">
        <v>27</v>
      </c>
      <c r="K15" s="98" t="s">
        <v>28</v>
      </c>
      <c r="L15" s="98" t="s">
        <v>29</v>
      </c>
      <c r="M15" s="98" t="s">
        <v>17</v>
      </c>
      <c r="N15" s="98" t="s">
        <v>18</v>
      </c>
      <c r="O15" s="62"/>
    </row>
    <row r="16" spans="1:15" x14ac:dyDescent="0.3">
      <c r="A16" s="72">
        <v>10</v>
      </c>
      <c r="B16" s="72" t="s">
        <v>350</v>
      </c>
      <c r="C16" s="72" t="s">
        <v>392</v>
      </c>
      <c r="D16" s="74">
        <v>10</v>
      </c>
      <c r="E16" s="72">
        <v>5.0000000000000001E-3</v>
      </c>
      <c r="F16" s="72" t="s">
        <v>276</v>
      </c>
      <c r="G16" s="72"/>
      <c r="H16" s="75"/>
      <c r="I16" s="76"/>
      <c r="J16" s="77"/>
      <c r="K16" s="75"/>
      <c r="L16" s="75"/>
      <c r="M16" s="846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350</v>
      </c>
      <c r="C17" s="726" t="s">
        <v>393</v>
      </c>
      <c r="D17" s="74">
        <v>10</v>
      </c>
      <c r="E17" s="727">
        <v>5.0000000000000001E-3</v>
      </c>
      <c r="F17" s="727" t="s">
        <v>276</v>
      </c>
      <c r="G17" s="727"/>
      <c r="H17" s="75"/>
      <c r="I17" s="728"/>
      <c r="J17" s="97"/>
      <c r="K17" s="78"/>
      <c r="L17" s="79"/>
      <c r="M17" s="846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8" t="s">
        <v>18</v>
      </c>
      <c r="N18" s="100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231</v>
      </c>
      <c r="C21" s="72" t="s">
        <v>394</v>
      </c>
      <c r="D21" s="74">
        <v>0.15</v>
      </c>
      <c r="E21" s="72" t="s">
        <v>40</v>
      </c>
      <c r="F21" s="732">
        <f>11.5*2</f>
        <v>23</v>
      </c>
      <c r="G21" s="732"/>
      <c r="H21" s="732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3" t="s">
        <v>354</v>
      </c>
      <c r="C22" s="72" t="s">
        <v>395</v>
      </c>
      <c r="D22" s="74">
        <v>5.25</v>
      </c>
      <c r="E22" s="733" t="s">
        <v>276</v>
      </c>
      <c r="F22" s="732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3" t="s">
        <v>354</v>
      </c>
      <c r="C23" s="72" t="s">
        <v>396</v>
      </c>
      <c r="D23" s="74">
        <v>5.25</v>
      </c>
      <c r="E23" s="72" t="s">
        <v>276</v>
      </c>
      <c r="F23" s="732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3" t="s">
        <v>225</v>
      </c>
      <c r="C24" s="72" t="s">
        <v>445</v>
      </c>
      <c r="D24" s="74">
        <v>0.06</v>
      </c>
      <c r="E24" s="72" t="s">
        <v>35</v>
      </c>
      <c r="F24" s="732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3" t="s">
        <v>225</v>
      </c>
      <c r="C25" s="72" t="s">
        <v>446</v>
      </c>
      <c r="D25" s="74">
        <v>0.06</v>
      </c>
      <c r="E25" s="72" t="s">
        <v>35</v>
      </c>
      <c r="F25" s="732">
        <v>2</v>
      </c>
      <c r="G25" s="732"/>
      <c r="H25" s="732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v>60</v>
      </c>
      <c r="B26" s="736" t="s">
        <v>225</v>
      </c>
      <c r="C26" s="736" t="s">
        <v>399</v>
      </c>
      <c r="D26" s="74">
        <v>0.06</v>
      </c>
      <c r="E26" s="736" t="s">
        <v>35</v>
      </c>
      <c r="F26" s="737">
        <v>2</v>
      </c>
      <c r="G26" s="23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82">
        <v>70</v>
      </c>
      <c r="B27" s="738" t="s">
        <v>363</v>
      </c>
      <c r="C27" s="794" t="s">
        <v>400</v>
      </c>
      <c r="D27" s="283">
        <v>0.12</v>
      </c>
      <c r="E27" s="27" t="s">
        <v>35</v>
      </c>
      <c r="F27" s="26">
        <v>1</v>
      </c>
      <c r="G27" s="682"/>
      <c r="H27" s="739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82">
        <v>80</v>
      </c>
      <c r="B28" s="738" t="s">
        <v>363</v>
      </c>
      <c r="C28" s="795" t="s">
        <v>401</v>
      </c>
      <c r="D28" s="283">
        <v>0.12</v>
      </c>
      <c r="E28" s="27" t="s">
        <v>35</v>
      </c>
      <c r="F28" s="26">
        <v>1</v>
      </c>
      <c r="G28" s="682"/>
      <c r="H28" s="739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82">
        <v>90</v>
      </c>
      <c r="B29" s="738" t="s">
        <v>366</v>
      </c>
      <c r="C29" s="795" t="s">
        <v>367</v>
      </c>
      <c r="D29" s="283">
        <v>0.75</v>
      </c>
      <c r="E29" s="27" t="s">
        <v>35</v>
      </c>
      <c r="F29" s="26">
        <v>1</v>
      </c>
      <c r="G29" s="682"/>
      <c r="H29" s="739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82">
        <v>100</v>
      </c>
      <c r="B30" s="738" t="s">
        <v>368</v>
      </c>
      <c r="C30" s="795" t="s">
        <v>367</v>
      </c>
      <c r="D30" s="283">
        <v>0.25</v>
      </c>
      <c r="E30" s="27" t="s">
        <v>35</v>
      </c>
      <c r="F30" s="26">
        <v>1</v>
      </c>
      <c r="G30" s="682"/>
      <c r="H30" s="739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101" t="s">
        <v>18</v>
      </c>
      <c r="I31" s="100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402</v>
      </c>
      <c r="D34" s="670">
        <f>0.8/105154*E34^2*G34*SQRT(G34)+0.003*EXP(0.319*E34)</f>
        <v>6.5344202146287819E-2</v>
      </c>
      <c r="E34" s="671">
        <v>6</v>
      </c>
      <c r="F34" s="671" t="s">
        <v>30</v>
      </c>
      <c r="G34" s="671">
        <v>30</v>
      </c>
      <c r="H34" s="671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402</v>
      </c>
      <c r="D35" s="670">
        <v>0.01</v>
      </c>
      <c r="E35" s="72"/>
      <c r="F35" s="672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402</v>
      </c>
      <c r="D36" s="670">
        <f>0.009*EXP(0.2*E36)</f>
        <v>2.9881052304628931E-2</v>
      </c>
      <c r="E36" s="72">
        <v>6</v>
      </c>
      <c r="F36" s="672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72" t="s">
        <v>403</v>
      </c>
      <c r="D40" s="74">
        <v>500</v>
      </c>
      <c r="E40" s="72" t="s">
        <v>255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70866141732283472" right="0.70866141732283472" top="0.74803149606299213" bottom="0.74803149606299213" header="0.31496062992125984" footer="0.31496062992125984"/>
  <pageSetup paperSize="9" scale="66" firstPageNumber="0" fitToHeight="99" orientation="landscape" r:id="rId1"/>
  <rowBreaks count="1" manualBreakCount="1">
    <brk id="42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144</vt:i4>
      </vt:variant>
      <vt:variant>
        <vt:lpstr>Plages nommées</vt:lpstr>
      </vt:variant>
      <vt:variant>
        <vt:i4>442</vt:i4>
      </vt:variant>
    </vt:vector>
  </HeadingPairs>
  <TitlesOfParts>
    <vt:vector size="586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dSU 12002</vt:lpstr>
      <vt:lpstr>SU 12003</vt:lpstr>
      <vt:lpstr>dSU 12003</vt:lpstr>
      <vt:lpstr>SU 12004</vt:lpstr>
      <vt:lpstr>dSU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dSU_12002</vt:lpstr>
      <vt:lpstr>dSU_12003</vt:lpstr>
      <vt:lpstr>dSU_12004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2018-05-04T13:58:48Z</dcterms:modified>
  <dc:language>fr-FR</dc:language>
</cp:coreProperties>
</file>